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935" yWindow="0" windowWidth="19320" windowHeight="10920" tabRatio="500" activeTab="6"/>
  </bookViews>
  <sheets>
    <sheet name="Sheet1" sheetId="1" r:id="rId1"/>
    <sheet name="CHCI-GOÜ" sheetId="6" r:id="rId2"/>
    <sheet name="CHCI-GÜ" sheetId="7" r:id="rId3"/>
    <sheet name="Sheet2" sheetId="2" r:id="rId4"/>
    <sheet name="Sheet3" sheetId="3" r:id="rId5"/>
    <sheet name="Sheet4" sheetId="4" r:id="rId6"/>
    <sheet name="Sheet5" sheetId="5" r:id="rId7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90" i="1" l="1"/>
  <c r="D790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C789" i="1"/>
  <c r="D789" i="1"/>
  <c r="E789" i="1"/>
  <c r="F789" i="1"/>
  <c r="G789" i="1"/>
  <c r="H789" i="1"/>
  <c r="I789" i="1"/>
  <c r="J789" i="1"/>
  <c r="K789" i="1"/>
  <c r="L789" i="1"/>
  <c r="M789" i="1"/>
  <c r="N789" i="1"/>
  <c r="O789" i="1"/>
  <c r="P789" i="1"/>
  <c r="Q789" i="1"/>
  <c r="R789" i="1"/>
  <c r="B789" i="1"/>
  <c r="C788" i="1"/>
  <c r="D788" i="1"/>
  <c r="E788" i="1"/>
  <c r="F788" i="1"/>
  <c r="G788" i="1"/>
  <c r="H788" i="1"/>
  <c r="I788" i="1"/>
  <c r="J788" i="1"/>
  <c r="K788" i="1"/>
  <c r="L788" i="1"/>
  <c r="M788" i="1"/>
  <c r="N788" i="1"/>
  <c r="O788" i="1"/>
  <c r="P788" i="1"/>
  <c r="Q788" i="1"/>
  <c r="R788" i="1"/>
  <c r="B788" i="1"/>
  <c r="B787" i="1"/>
  <c r="B786" i="1"/>
  <c r="C785" i="1"/>
  <c r="D785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B785" i="1"/>
  <c r="C784" i="1"/>
  <c r="D784" i="1"/>
  <c r="E784" i="1"/>
  <c r="F784" i="1"/>
  <c r="G784" i="1"/>
  <c r="H784" i="1"/>
  <c r="I784" i="1"/>
  <c r="J784" i="1"/>
  <c r="K784" i="1"/>
  <c r="L784" i="1"/>
  <c r="M784" i="1"/>
  <c r="N784" i="1"/>
  <c r="O784" i="1"/>
  <c r="P784" i="1"/>
  <c r="Q784" i="1"/>
  <c r="R784" i="1"/>
  <c r="B784" i="1"/>
  <c r="C822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C821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B821" i="1"/>
  <c r="C820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B820" i="1"/>
  <c r="C819" i="1"/>
  <c r="D819" i="1"/>
  <c r="E819" i="1"/>
  <c r="F819" i="1"/>
  <c r="G819" i="1"/>
  <c r="H819" i="1"/>
  <c r="I819" i="1"/>
  <c r="J819" i="1"/>
  <c r="K819" i="1"/>
  <c r="L819" i="1"/>
  <c r="M819" i="1"/>
  <c r="N819" i="1"/>
  <c r="O819" i="1"/>
  <c r="P819" i="1"/>
  <c r="Q819" i="1"/>
  <c r="R819" i="1"/>
  <c r="B819" i="1"/>
  <c r="C817" i="1"/>
  <c r="D817" i="1"/>
  <c r="E817" i="1"/>
  <c r="F817" i="1"/>
  <c r="G817" i="1"/>
  <c r="H817" i="1"/>
  <c r="I817" i="1"/>
  <c r="J817" i="1"/>
  <c r="K817" i="1"/>
  <c r="L817" i="1"/>
  <c r="M817" i="1"/>
  <c r="N817" i="1"/>
  <c r="O817" i="1"/>
  <c r="P817" i="1"/>
  <c r="Q817" i="1"/>
  <c r="R817" i="1"/>
  <c r="B817" i="1"/>
  <c r="C816" i="1"/>
  <c r="D816" i="1"/>
  <c r="E816" i="1"/>
  <c r="F816" i="1"/>
  <c r="G816" i="1"/>
  <c r="H816" i="1"/>
  <c r="I816" i="1"/>
  <c r="J816" i="1"/>
  <c r="K816" i="1"/>
  <c r="L816" i="1"/>
  <c r="M816" i="1"/>
  <c r="N816" i="1"/>
  <c r="O816" i="1"/>
  <c r="P816" i="1"/>
  <c r="Q816" i="1"/>
  <c r="R816" i="1"/>
  <c r="B816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C902" i="1"/>
  <c r="D902" i="1"/>
  <c r="E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B902" i="1"/>
  <c r="C886" i="1"/>
  <c r="D886" i="1"/>
  <c r="E886" i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C901" i="1"/>
  <c r="D901" i="1"/>
  <c r="E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B901" i="1"/>
  <c r="C885" i="1"/>
  <c r="D885" i="1"/>
  <c r="E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B885" i="1"/>
  <c r="C900" i="1"/>
  <c r="D900" i="1"/>
  <c r="E900" i="1"/>
  <c r="F900" i="1"/>
  <c r="G900" i="1"/>
  <c r="H900" i="1"/>
  <c r="I900" i="1"/>
  <c r="J900" i="1"/>
  <c r="K900" i="1"/>
  <c r="L900" i="1"/>
  <c r="M900" i="1"/>
  <c r="N900" i="1"/>
  <c r="O900" i="1"/>
  <c r="P900" i="1"/>
  <c r="Q900" i="1"/>
  <c r="R900" i="1"/>
  <c r="B900" i="1"/>
  <c r="C884" i="1"/>
  <c r="D884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B884" i="1"/>
  <c r="C899" i="1"/>
  <c r="D899" i="1"/>
  <c r="E899" i="1"/>
  <c r="F899" i="1"/>
  <c r="G899" i="1"/>
  <c r="H899" i="1"/>
  <c r="I899" i="1"/>
  <c r="J899" i="1"/>
  <c r="K899" i="1"/>
  <c r="L899" i="1"/>
  <c r="M899" i="1"/>
  <c r="N899" i="1"/>
  <c r="O899" i="1"/>
  <c r="P899" i="1"/>
  <c r="Q899" i="1"/>
  <c r="R899" i="1"/>
  <c r="B899" i="1"/>
  <c r="C883" i="1"/>
  <c r="D883" i="1"/>
  <c r="E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B883" i="1"/>
  <c r="B882" i="1"/>
  <c r="C898" i="1"/>
  <c r="D898" i="1"/>
  <c r="E898" i="1"/>
  <c r="F898" i="1"/>
  <c r="G898" i="1"/>
  <c r="H898" i="1"/>
  <c r="I898" i="1"/>
  <c r="J898" i="1"/>
  <c r="K898" i="1"/>
  <c r="L898" i="1"/>
  <c r="M898" i="1"/>
  <c r="N898" i="1"/>
  <c r="O898" i="1"/>
  <c r="P898" i="1"/>
  <c r="Q898" i="1"/>
  <c r="R898" i="1"/>
  <c r="B898" i="1"/>
  <c r="C882" i="1"/>
  <c r="D882" i="1"/>
  <c r="E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C897" i="1"/>
  <c r="D897" i="1"/>
  <c r="E897" i="1"/>
  <c r="F897" i="1"/>
  <c r="G897" i="1"/>
  <c r="H897" i="1"/>
  <c r="I897" i="1"/>
  <c r="J897" i="1"/>
  <c r="K897" i="1"/>
  <c r="L897" i="1"/>
  <c r="M897" i="1"/>
  <c r="N897" i="1"/>
  <c r="O897" i="1"/>
  <c r="P897" i="1"/>
  <c r="Q897" i="1"/>
  <c r="R897" i="1"/>
  <c r="B897" i="1"/>
  <c r="C881" i="1"/>
  <c r="D881" i="1"/>
  <c r="E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B881" i="1"/>
  <c r="C870" i="1"/>
  <c r="D870" i="1"/>
  <c r="E870" i="1"/>
  <c r="F870" i="1"/>
  <c r="G870" i="1"/>
  <c r="H870" i="1"/>
  <c r="I870" i="1"/>
  <c r="J870" i="1"/>
  <c r="K870" i="1"/>
  <c r="L870" i="1"/>
  <c r="M870" i="1"/>
  <c r="N870" i="1"/>
  <c r="O870" i="1"/>
  <c r="P870" i="1"/>
  <c r="Q870" i="1"/>
  <c r="R870" i="1"/>
  <c r="B870" i="1"/>
  <c r="C854" i="1"/>
  <c r="D854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C869" i="1"/>
  <c r="D869" i="1"/>
  <c r="E869" i="1"/>
  <c r="F869" i="1"/>
  <c r="G869" i="1"/>
  <c r="H869" i="1"/>
  <c r="I869" i="1"/>
  <c r="J869" i="1"/>
  <c r="K869" i="1"/>
  <c r="L869" i="1"/>
  <c r="M869" i="1"/>
  <c r="N869" i="1"/>
  <c r="O869" i="1"/>
  <c r="P869" i="1"/>
  <c r="Q869" i="1"/>
  <c r="R869" i="1"/>
  <c r="B869" i="1"/>
  <c r="C853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B853" i="1"/>
  <c r="C868" i="1"/>
  <c r="D868" i="1"/>
  <c r="E868" i="1"/>
  <c r="F868" i="1"/>
  <c r="G868" i="1"/>
  <c r="H868" i="1"/>
  <c r="I868" i="1"/>
  <c r="J868" i="1"/>
  <c r="K868" i="1"/>
  <c r="L868" i="1"/>
  <c r="M868" i="1"/>
  <c r="N868" i="1"/>
  <c r="O868" i="1"/>
  <c r="P868" i="1"/>
  <c r="Q868" i="1"/>
  <c r="R868" i="1"/>
  <c r="B868" i="1"/>
  <c r="C852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B852" i="1"/>
  <c r="C867" i="1"/>
  <c r="D867" i="1"/>
  <c r="E867" i="1"/>
  <c r="F867" i="1"/>
  <c r="G867" i="1"/>
  <c r="H867" i="1"/>
  <c r="I867" i="1"/>
  <c r="J867" i="1"/>
  <c r="K867" i="1"/>
  <c r="L867" i="1"/>
  <c r="M867" i="1"/>
  <c r="N867" i="1"/>
  <c r="O867" i="1"/>
  <c r="P867" i="1"/>
  <c r="Q867" i="1"/>
  <c r="R867" i="1"/>
  <c r="B867" i="1"/>
  <c r="C851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B851" i="1"/>
  <c r="C866" i="1"/>
  <c r="D866" i="1"/>
  <c r="E866" i="1"/>
  <c r="F866" i="1"/>
  <c r="G866" i="1"/>
  <c r="H866" i="1"/>
  <c r="I866" i="1"/>
  <c r="J866" i="1"/>
  <c r="K866" i="1"/>
  <c r="L866" i="1"/>
  <c r="M866" i="1"/>
  <c r="N866" i="1"/>
  <c r="O866" i="1"/>
  <c r="P866" i="1"/>
  <c r="Q866" i="1"/>
  <c r="R866" i="1"/>
  <c r="B866" i="1"/>
  <c r="C850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B850" i="1"/>
  <c r="C865" i="1"/>
  <c r="D865" i="1"/>
  <c r="E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B865" i="1"/>
  <c r="C849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B849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C896" i="1"/>
  <c r="B896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C848" i="1"/>
  <c r="B848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B832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R672" i="1"/>
  <c r="Q672" i="1"/>
  <c r="P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O672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1" i="1"/>
  <c r="B560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886" i="1"/>
  <c r="B854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C834" i="1"/>
  <c r="B834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C833" i="1"/>
  <c r="B833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C838" i="1"/>
  <c r="B83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B822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C805" i="1"/>
  <c r="B805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C787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C801" i="1"/>
  <c r="B801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B790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C771" i="1"/>
  <c r="B771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R753" i="1"/>
  <c r="R754" i="1"/>
  <c r="R758" i="1"/>
  <c r="Q753" i="1"/>
  <c r="Q754" i="1"/>
  <c r="Q758" i="1"/>
  <c r="P753" i="1"/>
  <c r="P754" i="1"/>
  <c r="P758" i="1"/>
  <c r="O753" i="1"/>
  <c r="O754" i="1"/>
  <c r="O758" i="1"/>
  <c r="N753" i="1"/>
  <c r="N754" i="1"/>
  <c r="N758" i="1"/>
  <c r="M753" i="1"/>
  <c r="M754" i="1"/>
  <c r="M758" i="1"/>
  <c r="L753" i="1"/>
  <c r="L754" i="1"/>
  <c r="L758" i="1"/>
  <c r="K753" i="1"/>
  <c r="K754" i="1"/>
  <c r="K758" i="1"/>
  <c r="J753" i="1"/>
  <c r="J754" i="1"/>
  <c r="J758" i="1"/>
  <c r="I753" i="1"/>
  <c r="I754" i="1"/>
  <c r="I758" i="1"/>
  <c r="H753" i="1"/>
  <c r="H754" i="1"/>
  <c r="H758" i="1"/>
  <c r="G753" i="1"/>
  <c r="G754" i="1"/>
  <c r="G758" i="1"/>
  <c r="F753" i="1"/>
  <c r="F754" i="1"/>
  <c r="F758" i="1"/>
  <c r="E753" i="1"/>
  <c r="E754" i="1"/>
  <c r="E758" i="1"/>
  <c r="D753" i="1"/>
  <c r="D754" i="1"/>
  <c r="D758" i="1"/>
  <c r="C753" i="1"/>
  <c r="C754" i="1"/>
  <c r="C758" i="1"/>
  <c r="B753" i="1"/>
  <c r="B754" i="1"/>
  <c r="B758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R739" i="1"/>
  <c r="R742" i="1"/>
  <c r="Q739" i="1"/>
  <c r="Q742" i="1"/>
  <c r="P739" i="1"/>
  <c r="P742" i="1"/>
  <c r="O739" i="1"/>
  <c r="O742" i="1"/>
  <c r="N739" i="1"/>
  <c r="N742" i="1"/>
  <c r="M739" i="1"/>
  <c r="M742" i="1"/>
  <c r="L739" i="1"/>
  <c r="L742" i="1"/>
  <c r="K739" i="1"/>
  <c r="K742" i="1"/>
  <c r="J739" i="1"/>
  <c r="J742" i="1"/>
  <c r="I739" i="1"/>
  <c r="I742" i="1"/>
  <c r="H739" i="1"/>
  <c r="H742" i="1"/>
  <c r="G739" i="1"/>
  <c r="G742" i="1"/>
  <c r="F739" i="1"/>
  <c r="F742" i="1"/>
  <c r="E739" i="1"/>
  <c r="E742" i="1"/>
  <c r="D739" i="1"/>
  <c r="D742" i="1"/>
  <c r="C739" i="1"/>
  <c r="C742" i="1"/>
  <c r="B739" i="1"/>
  <c r="B742" i="1"/>
  <c r="R722" i="1"/>
  <c r="R726" i="1"/>
  <c r="Q722" i="1"/>
  <c r="Q726" i="1"/>
  <c r="P722" i="1"/>
  <c r="P726" i="1"/>
  <c r="O722" i="1"/>
  <c r="O726" i="1"/>
  <c r="N722" i="1"/>
  <c r="N726" i="1"/>
  <c r="M722" i="1"/>
  <c r="M726" i="1"/>
  <c r="L722" i="1"/>
  <c r="L726" i="1"/>
  <c r="K722" i="1"/>
  <c r="K726" i="1"/>
  <c r="J722" i="1"/>
  <c r="J726" i="1"/>
  <c r="I722" i="1"/>
  <c r="I726" i="1"/>
  <c r="H722" i="1"/>
  <c r="H726" i="1"/>
  <c r="G722" i="1"/>
  <c r="G726" i="1"/>
  <c r="F722" i="1"/>
  <c r="F726" i="1"/>
  <c r="E722" i="1"/>
  <c r="E726" i="1"/>
  <c r="D722" i="1"/>
  <c r="D726" i="1"/>
  <c r="C722" i="1"/>
  <c r="C726" i="1"/>
  <c r="B722" i="1"/>
  <c r="B726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R690" i="1"/>
  <c r="R691" i="1"/>
  <c r="R694" i="1"/>
  <c r="Q690" i="1"/>
  <c r="Q691" i="1"/>
  <c r="Q694" i="1"/>
  <c r="P690" i="1"/>
  <c r="P691" i="1"/>
  <c r="P694" i="1"/>
  <c r="O690" i="1"/>
  <c r="O691" i="1"/>
  <c r="O694" i="1"/>
  <c r="N690" i="1"/>
  <c r="N691" i="1"/>
  <c r="N694" i="1"/>
  <c r="M690" i="1"/>
  <c r="M691" i="1"/>
  <c r="M694" i="1"/>
  <c r="L690" i="1"/>
  <c r="L691" i="1"/>
  <c r="L694" i="1"/>
  <c r="K690" i="1"/>
  <c r="K691" i="1"/>
  <c r="K694" i="1"/>
  <c r="J690" i="1"/>
  <c r="J691" i="1"/>
  <c r="J694" i="1"/>
  <c r="I690" i="1"/>
  <c r="I691" i="1"/>
  <c r="I694" i="1"/>
  <c r="H690" i="1"/>
  <c r="H691" i="1"/>
  <c r="H694" i="1"/>
  <c r="G690" i="1"/>
  <c r="G691" i="1"/>
  <c r="G694" i="1"/>
  <c r="F690" i="1"/>
  <c r="F691" i="1"/>
  <c r="F694" i="1"/>
  <c r="E690" i="1"/>
  <c r="E691" i="1"/>
  <c r="E694" i="1"/>
  <c r="D690" i="1"/>
  <c r="D691" i="1"/>
  <c r="D694" i="1"/>
  <c r="C690" i="1"/>
  <c r="C691" i="1"/>
  <c r="C694" i="1"/>
  <c r="B690" i="1"/>
  <c r="B691" i="1"/>
  <c r="B694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R658" i="1"/>
  <c r="R659" i="1"/>
  <c r="R662" i="1"/>
  <c r="Q658" i="1"/>
  <c r="Q659" i="1"/>
  <c r="Q662" i="1"/>
  <c r="P658" i="1"/>
  <c r="P659" i="1"/>
  <c r="P662" i="1"/>
  <c r="O658" i="1"/>
  <c r="O659" i="1"/>
  <c r="O662" i="1"/>
  <c r="N658" i="1"/>
  <c r="N659" i="1"/>
  <c r="N662" i="1"/>
  <c r="M658" i="1"/>
  <c r="M659" i="1"/>
  <c r="M662" i="1"/>
  <c r="L658" i="1"/>
  <c r="L659" i="1"/>
  <c r="L662" i="1"/>
  <c r="K658" i="1"/>
  <c r="K659" i="1"/>
  <c r="K662" i="1"/>
  <c r="J658" i="1"/>
  <c r="J659" i="1"/>
  <c r="J662" i="1"/>
  <c r="I658" i="1"/>
  <c r="I659" i="1"/>
  <c r="I662" i="1"/>
  <c r="H658" i="1"/>
  <c r="H659" i="1"/>
  <c r="H662" i="1"/>
  <c r="G658" i="1"/>
  <c r="G659" i="1"/>
  <c r="G662" i="1"/>
  <c r="F658" i="1"/>
  <c r="F659" i="1"/>
  <c r="F662" i="1"/>
  <c r="E658" i="1"/>
  <c r="E659" i="1"/>
  <c r="E662" i="1"/>
  <c r="D658" i="1"/>
  <c r="D659" i="1"/>
  <c r="D662" i="1"/>
  <c r="C658" i="1"/>
  <c r="C659" i="1"/>
  <c r="C662" i="1"/>
  <c r="B658" i="1"/>
  <c r="B659" i="1"/>
  <c r="B662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R626" i="1"/>
  <c r="R627" i="1"/>
  <c r="R630" i="1"/>
  <c r="Q626" i="1"/>
  <c r="Q627" i="1"/>
  <c r="Q630" i="1"/>
  <c r="P626" i="1"/>
  <c r="P627" i="1"/>
  <c r="P630" i="1"/>
  <c r="O626" i="1"/>
  <c r="O627" i="1"/>
  <c r="O630" i="1"/>
  <c r="N626" i="1"/>
  <c r="N627" i="1"/>
  <c r="N630" i="1"/>
  <c r="M626" i="1"/>
  <c r="M627" i="1"/>
  <c r="M630" i="1"/>
  <c r="L626" i="1"/>
  <c r="L627" i="1"/>
  <c r="L630" i="1"/>
  <c r="K626" i="1"/>
  <c r="K627" i="1"/>
  <c r="K630" i="1"/>
  <c r="J626" i="1"/>
  <c r="J627" i="1"/>
  <c r="J630" i="1"/>
  <c r="I626" i="1"/>
  <c r="I627" i="1"/>
  <c r="I630" i="1"/>
  <c r="H626" i="1"/>
  <c r="H627" i="1"/>
  <c r="H630" i="1"/>
  <c r="G626" i="1"/>
  <c r="G627" i="1"/>
  <c r="G630" i="1"/>
  <c r="F626" i="1"/>
  <c r="F627" i="1"/>
  <c r="F630" i="1"/>
  <c r="E626" i="1"/>
  <c r="E627" i="1"/>
  <c r="E630" i="1"/>
  <c r="D626" i="1"/>
  <c r="D627" i="1"/>
  <c r="D630" i="1"/>
  <c r="C626" i="1"/>
  <c r="C627" i="1"/>
  <c r="C630" i="1"/>
  <c r="B626" i="1"/>
  <c r="B627" i="1"/>
  <c r="B630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R594" i="1"/>
  <c r="R598" i="1"/>
  <c r="Q594" i="1"/>
  <c r="Q598" i="1"/>
  <c r="P594" i="1"/>
  <c r="P598" i="1"/>
  <c r="O594" i="1"/>
  <c r="O598" i="1"/>
  <c r="N594" i="1"/>
  <c r="N598" i="1"/>
  <c r="M594" i="1"/>
  <c r="M598" i="1"/>
  <c r="L594" i="1"/>
  <c r="L598" i="1"/>
  <c r="K594" i="1"/>
  <c r="K598" i="1"/>
  <c r="J594" i="1"/>
  <c r="J598" i="1"/>
  <c r="I594" i="1"/>
  <c r="I598" i="1"/>
  <c r="H594" i="1"/>
  <c r="H598" i="1"/>
  <c r="G594" i="1"/>
  <c r="G598" i="1"/>
  <c r="F594" i="1"/>
  <c r="F598" i="1"/>
  <c r="E594" i="1"/>
  <c r="E598" i="1"/>
  <c r="D594" i="1"/>
  <c r="D598" i="1"/>
  <c r="C594" i="1"/>
  <c r="C598" i="1"/>
  <c r="B594" i="1"/>
  <c r="B598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R562" i="1"/>
  <c r="R566" i="1"/>
  <c r="Q562" i="1"/>
  <c r="Q566" i="1"/>
  <c r="P562" i="1"/>
  <c r="P566" i="1"/>
  <c r="O562" i="1"/>
  <c r="O566" i="1"/>
  <c r="N562" i="1"/>
  <c r="N566" i="1"/>
  <c r="M562" i="1"/>
  <c r="M566" i="1"/>
  <c r="L562" i="1"/>
  <c r="L566" i="1"/>
  <c r="K562" i="1"/>
  <c r="K566" i="1"/>
  <c r="J562" i="1"/>
  <c r="J566" i="1"/>
  <c r="I562" i="1"/>
  <c r="I566" i="1"/>
  <c r="H562" i="1"/>
  <c r="H566" i="1"/>
  <c r="G562" i="1"/>
  <c r="G566" i="1"/>
  <c r="F562" i="1"/>
  <c r="F566" i="1"/>
  <c r="E562" i="1"/>
  <c r="E566" i="1"/>
  <c r="D562" i="1"/>
  <c r="D566" i="1"/>
  <c r="C562" i="1"/>
  <c r="C566" i="1"/>
  <c r="B562" i="1"/>
  <c r="B566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R530" i="1"/>
  <c r="R534" i="1"/>
  <c r="Q530" i="1"/>
  <c r="Q534" i="1"/>
  <c r="P530" i="1"/>
  <c r="P534" i="1"/>
  <c r="O530" i="1"/>
  <c r="O534" i="1"/>
  <c r="N530" i="1"/>
  <c r="N534" i="1"/>
  <c r="M530" i="1"/>
  <c r="M534" i="1"/>
  <c r="L530" i="1"/>
  <c r="L534" i="1"/>
  <c r="K530" i="1"/>
  <c r="K534" i="1"/>
  <c r="J530" i="1"/>
  <c r="J534" i="1"/>
  <c r="I530" i="1"/>
  <c r="I534" i="1"/>
  <c r="H530" i="1"/>
  <c r="H534" i="1"/>
  <c r="G530" i="1"/>
  <c r="G534" i="1"/>
  <c r="F530" i="1"/>
  <c r="F534" i="1"/>
  <c r="E530" i="1"/>
  <c r="E534" i="1"/>
  <c r="D530" i="1"/>
  <c r="D534" i="1"/>
  <c r="C530" i="1"/>
  <c r="C534" i="1"/>
  <c r="B530" i="1"/>
  <c r="B534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R498" i="1"/>
  <c r="R502" i="1"/>
  <c r="Q498" i="1"/>
  <c r="Q502" i="1"/>
  <c r="P498" i="1"/>
  <c r="P502" i="1"/>
  <c r="O498" i="1"/>
  <c r="O502" i="1"/>
  <c r="N498" i="1"/>
  <c r="N502" i="1"/>
  <c r="M498" i="1"/>
  <c r="M502" i="1"/>
  <c r="L498" i="1"/>
  <c r="L502" i="1"/>
  <c r="K498" i="1"/>
  <c r="K502" i="1"/>
  <c r="J498" i="1"/>
  <c r="J502" i="1"/>
  <c r="I498" i="1"/>
  <c r="I502" i="1"/>
  <c r="H498" i="1"/>
  <c r="H502" i="1"/>
  <c r="G498" i="1"/>
  <c r="G502" i="1"/>
  <c r="F498" i="1"/>
  <c r="F502" i="1"/>
  <c r="E498" i="1"/>
  <c r="E502" i="1"/>
  <c r="D498" i="1"/>
  <c r="D502" i="1"/>
  <c r="C498" i="1"/>
  <c r="C502" i="1"/>
  <c r="B498" i="1"/>
  <c r="B502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R465" i="1"/>
  <c r="R469" i="1"/>
  <c r="Q465" i="1"/>
  <c r="Q469" i="1"/>
  <c r="P465" i="1"/>
  <c r="P469" i="1"/>
  <c r="O465" i="1"/>
  <c r="O469" i="1"/>
  <c r="N465" i="1"/>
  <c r="N469" i="1"/>
  <c r="M465" i="1"/>
  <c r="M469" i="1"/>
  <c r="L465" i="1"/>
  <c r="L469" i="1"/>
  <c r="K465" i="1"/>
  <c r="K469" i="1"/>
  <c r="J465" i="1"/>
  <c r="J469" i="1"/>
  <c r="I465" i="1"/>
  <c r="I469" i="1"/>
  <c r="H465" i="1"/>
  <c r="H469" i="1"/>
  <c r="G465" i="1"/>
  <c r="G469" i="1"/>
  <c r="F465" i="1"/>
  <c r="F469" i="1"/>
  <c r="E465" i="1"/>
  <c r="E469" i="1"/>
  <c r="D465" i="1"/>
  <c r="D469" i="1"/>
  <c r="C465" i="1"/>
  <c r="C469" i="1"/>
  <c r="B465" i="1"/>
  <c r="B469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B450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R450" i="1"/>
  <c r="R453" i="1"/>
  <c r="Q450" i="1"/>
  <c r="Q453" i="1"/>
  <c r="P450" i="1"/>
  <c r="P453" i="1"/>
  <c r="O450" i="1"/>
  <c r="O453" i="1"/>
  <c r="N450" i="1"/>
  <c r="N453" i="1"/>
  <c r="M450" i="1"/>
  <c r="M453" i="1"/>
  <c r="L450" i="1"/>
  <c r="L453" i="1"/>
  <c r="K450" i="1"/>
  <c r="K453" i="1"/>
  <c r="J450" i="1"/>
  <c r="J453" i="1"/>
  <c r="I450" i="1"/>
  <c r="I453" i="1"/>
  <c r="H450" i="1"/>
  <c r="H453" i="1"/>
  <c r="G450" i="1"/>
  <c r="G453" i="1"/>
  <c r="F450" i="1"/>
  <c r="F453" i="1"/>
  <c r="E450" i="1"/>
  <c r="E453" i="1"/>
  <c r="D450" i="1"/>
  <c r="D453" i="1"/>
  <c r="C450" i="1"/>
  <c r="C453" i="1"/>
  <c r="B453" i="1"/>
  <c r="R433" i="1"/>
  <c r="R434" i="1"/>
  <c r="R437" i="1"/>
  <c r="Q433" i="1"/>
  <c r="Q434" i="1"/>
  <c r="Q437" i="1"/>
  <c r="P433" i="1"/>
  <c r="P434" i="1"/>
  <c r="P437" i="1"/>
  <c r="O433" i="1"/>
  <c r="O434" i="1"/>
  <c r="O437" i="1"/>
  <c r="N433" i="1"/>
  <c r="N434" i="1"/>
  <c r="N437" i="1"/>
  <c r="M433" i="1"/>
  <c r="M434" i="1"/>
  <c r="M437" i="1"/>
  <c r="L433" i="1"/>
  <c r="L434" i="1"/>
  <c r="L437" i="1"/>
  <c r="K433" i="1"/>
  <c r="K434" i="1"/>
  <c r="K437" i="1"/>
  <c r="J433" i="1"/>
  <c r="J434" i="1"/>
  <c r="J437" i="1"/>
  <c r="I433" i="1"/>
  <c r="I434" i="1"/>
  <c r="I437" i="1"/>
  <c r="H433" i="1"/>
  <c r="H434" i="1"/>
  <c r="H437" i="1"/>
  <c r="G433" i="1"/>
  <c r="G434" i="1"/>
  <c r="G437" i="1"/>
  <c r="F433" i="1"/>
  <c r="F434" i="1"/>
  <c r="F437" i="1"/>
  <c r="E433" i="1"/>
  <c r="E434" i="1"/>
  <c r="E437" i="1"/>
  <c r="D433" i="1"/>
  <c r="D434" i="1"/>
  <c r="D437" i="1"/>
  <c r="C433" i="1"/>
  <c r="C434" i="1"/>
  <c r="C437" i="1"/>
  <c r="B433" i="1"/>
  <c r="B434" i="1"/>
  <c r="B437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R400" i="1"/>
  <c r="R404" i="1"/>
  <c r="Q400" i="1"/>
  <c r="Q404" i="1"/>
  <c r="P400" i="1"/>
  <c r="P404" i="1"/>
  <c r="O400" i="1"/>
  <c r="O404" i="1"/>
  <c r="N400" i="1"/>
  <c r="N404" i="1"/>
  <c r="M400" i="1"/>
  <c r="M404" i="1"/>
  <c r="L400" i="1"/>
  <c r="L404" i="1"/>
  <c r="K400" i="1"/>
  <c r="K404" i="1"/>
  <c r="J400" i="1"/>
  <c r="J404" i="1"/>
  <c r="I400" i="1"/>
  <c r="I404" i="1"/>
  <c r="H400" i="1"/>
  <c r="H404" i="1"/>
  <c r="G400" i="1"/>
  <c r="G404" i="1"/>
  <c r="F400" i="1"/>
  <c r="F404" i="1"/>
  <c r="E400" i="1"/>
  <c r="E404" i="1"/>
  <c r="D400" i="1"/>
  <c r="D404" i="1"/>
  <c r="C400" i="1"/>
  <c r="C404" i="1"/>
  <c r="B400" i="1"/>
  <c r="B404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R367" i="1"/>
  <c r="R371" i="1"/>
  <c r="Q367" i="1"/>
  <c r="Q371" i="1"/>
  <c r="P367" i="1"/>
  <c r="P371" i="1"/>
  <c r="O367" i="1"/>
  <c r="O371" i="1"/>
  <c r="N367" i="1"/>
  <c r="N371" i="1"/>
  <c r="M367" i="1"/>
  <c r="M371" i="1"/>
  <c r="L367" i="1"/>
  <c r="L371" i="1"/>
  <c r="K367" i="1"/>
  <c r="K371" i="1"/>
  <c r="J367" i="1"/>
  <c r="J371" i="1"/>
  <c r="I367" i="1"/>
  <c r="I371" i="1"/>
  <c r="H367" i="1"/>
  <c r="H371" i="1"/>
  <c r="G367" i="1"/>
  <c r="G371" i="1"/>
  <c r="F367" i="1"/>
  <c r="F371" i="1"/>
  <c r="E367" i="1"/>
  <c r="E371" i="1"/>
  <c r="D367" i="1"/>
  <c r="D371" i="1"/>
  <c r="C367" i="1"/>
  <c r="C371" i="1"/>
  <c r="B367" i="1"/>
  <c r="B371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B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R335" i="1"/>
  <c r="R339" i="1"/>
  <c r="Q335" i="1"/>
  <c r="Q339" i="1"/>
  <c r="P335" i="1"/>
  <c r="P339" i="1"/>
  <c r="O335" i="1"/>
  <c r="O339" i="1"/>
  <c r="N335" i="1"/>
  <c r="N339" i="1"/>
  <c r="M335" i="1"/>
  <c r="M339" i="1"/>
  <c r="L335" i="1"/>
  <c r="L339" i="1"/>
  <c r="K335" i="1"/>
  <c r="K339" i="1"/>
  <c r="J335" i="1"/>
  <c r="J339" i="1"/>
  <c r="I335" i="1"/>
  <c r="I339" i="1"/>
  <c r="H335" i="1"/>
  <c r="H339" i="1"/>
  <c r="G335" i="1"/>
  <c r="G339" i="1"/>
  <c r="F335" i="1"/>
  <c r="F339" i="1"/>
  <c r="E335" i="1"/>
  <c r="E339" i="1"/>
  <c r="D335" i="1"/>
  <c r="D339" i="1"/>
  <c r="C335" i="1"/>
  <c r="C339" i="1"/>
  <c r="B335" i="1"/>
  <c r="B339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R303" i="1"/>
  <c r="R307" i="1"/>
  <c r="Q303" i="1"/>
  <c r="Q307" i="1"/>
  <c r="P303" i="1"/>
  <c r="P307" i="1"/>
  <c r="O303" i="1"/>
  <c r="O307" i="1"/>
  <c r="N303" i="1"/>
  <c r="N307" i="1"/>
  <c r="M303" i="1"/>
  <c r="M307" i="1"/>
  <c r="L303" i="1"/>
  <c r="L307" i="1"/>
  <c r="K303" i="1"/>
  <c r="K307" i="1"/>
  <c r="J303" i="1"/>
  <c r="J307" i="1"/>
  <c r="I303" i="1"/>
  <c r="I307" i="1"/>
  <c r="H303" i="1"/>
  <c r="H307" i="1"/>
  <c r="G303" i="1"/>
  <c r="G307" i="1"/>
  <c r="F303" i="1"/>
  <c r="F307" i="1"/>
  <c r="E303" i="1"/>
  <c r="E307" i="1"/>
  <c r="D303" i="1"/>
  <c r="D307" i="1"/>
  <c r="C303" i="1"/>
  <c r="C307" i="1"/>
  <c r="B303" i="1"/>
  <c r="B307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R271" i="1"/>
  <c r="R275" i="1"/>
  <c r="Q271" i="1"/>
  <c r="Q275" i="1"/>
  <c r="P271" i="1"/>
  <c r="P275" i="1"/>
  <c r="O271" i="1"/>
  <c r="O275" i="1"/>
  <c r="N271" i="1"/>
  <c r="N275" i="1"/>
  <c r="M271" i="1"/>
  <c r="M275" i="1"/>
  <c r="L271" i="1"/>
  <c r="L275" i="1"/>
  <c r="K271" i="1"/>
  <c r="K275" i="1"/>
  <c r="J271" i="1"/>
  <c r="J275" i="1"/>
  <c r="I271" i="1"/>
  <c r="I275" i="1"/>
  <c r="H271" i="1"/>
  <c r="H275" i="1"/>
  <c r="G271" i="1"/>
  <c r="G275" i="1"/>
  <c r="F271" i="1"/>
  <c r="F275" i="1"/>
  <c r="E271" i="1"/>
  <c r="E275" i="1"/>
  <c r="D271" i="1"/>
  <c r="D275" i="1"/>
  <c r="C271" i="1"/>
  <c r="C275" i="1"/>
  <c r="B271" i="1"/>
  <c r="B275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R239" i="1"/>
  <c r="R243" i="1"/>
  <c r="Q239" i="1"/>
  <c r="Q243" i="1"/>
  <c r="P239" i="1"/>
  <c r="P243" i="1"/>
  <c r="O239" i="1"/>
  <c r="O243" i="1"/>
  <c r="N239" i="1"/>
  <c r="N243" i="1"/>
  <c r="M239" i="1"/>
  <c r="M243" i="1"/>
  <c r="L239" i="1"/>
  <c r="L243" i="1"/>
  <c r="K239" i="1"/>
  <c r="K243" i="1"/>
  <c r="J239" i="1"/>
  <c r="J243" i="1"/>
  <c r="I239" i="1"/>
  <c r="I243" i="1"/>
  <c r="H239" i="1"/>
  <c r="H243" i="1"/>
  <c r="G239" i="1"/>
  <c r="G243" i="1"/>
  <c r="F239" i="1"/>
  <c r="F243" i="1"/>
  <c r="E239" i="1"/>
  <c r="E243" i="1"/>
  <c r="D239" i="1"/>
  <c r="D243" i="1"/>
  <c r="C239" i="1"/>
  <c r="C243" i="1"/>
  <c r="B239" i="1"/>
  <c r="B243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R207" i="1"/>
  <c r="R211" i="1"/>
  <c r="Q207" i="1"/>
  <c r="Q211" i="1"/>
  <c r="P207" i="1"/>
  <c r="P211" i="1"/>
  <c r="O207" i="1"/>
  <c r="O211" i="1"/>
  <c r="N207" i="1"/>
  <c r="N211" i="1"/>
  <c r="M207" i="1"/>
  <c r="M211" i="1"/>
  <c r="L207" i="1"/>
  <c r="L211" i="1"/>
  <c r="K207" i="1"/>
  <c r="K211" i="1"/>
  <c r="J207" i="1"/>
  <c r="J211" i="1"/>
  <c r="I207" i="1"/>
  <c r="I211" i="1"/>
  <c r="H207" i="1"/>
  <c r="H211" i="1"/>
  <c r="G207" i="1"/>
  <c r="G211" i="1"/>
  <c r="F207" i="1"/>
  <c r="F211" i="1"/>
  <c r="E207" i="1"/>
  <c r="E211" i="1"/>
  <c r="D207" i="1"/>
  <c r="D211" i="1"/>
  <c r="C207" i="1"/>
  <c r="C211" i="1"/>
  <c r="B207" i="1"/>
  <c r="B211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5" i="1"/>
  <c r="B179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C159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B60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C45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2" i="1"/>
  <c r="B65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R26" i="4"/>
  <c r="R27" i="4"/>
  <c r="R28" i="4"/>
  <c r="R29" i="4"/>
  <c r="R30" i="4"/>
  <c r="R31" i="4"/>
  <c r="Q26" i="4"/>
  <c r="Q27" i="4"/>
  <c r="Q28" i="4"/>
  <c r="Q29" i="4"/>
  <c r="Q30" i="4"/>
  <c r="Q31" i="4"/>
  <c r="P26" i="4"/>
  <c r="P27" i="4"/>
  <c r="P28" i="4"/>
  <c r="P29" i="4"/>
  <c r="P30" i="4"/>
  <c r="P31" i="4"/>
  <c r="O26" i="4"/>
  <c r="O27" i="4"/>
  <c r="O28" i="4"/>
  <c r="O29" i="4"/>
  <c r="O30" i="4"/>
  <c r="O31" i="4"/>
  <c r="N26" i="4"/>
  <c r="N27" i="4"/>
  <c r="N28" i="4"/>
  <c r="N29" i="4"/>
  <c r="N30" i="4"/>
  <c r="N31" i="4"/>
  <c r="M26" i="4"/>
  <c r="M27" i="4"/>
  <c r="M28" i="4"/>
  <c r="M29" i="4"/>
  <c r="M30" i="4"/>
  <c r="M31" i="4"/>
  <c r="L26" i="4"/>
  <c r="L27" i="4"/>
  <c r="L28" i="4"/>
  <c r="L29" i="4"/>
  <c r="L30" i="4"/>
  <c r="L31" i="4"/>
  <c r="K26" i="4"/>
  <c r="K27" i="4"/>
  <c r="K28" i="4"/>
  <c r="K29" i="4"/>
  <c r="K30" i="4"/>
  <c r="K31" i="4"/>
  <c r="J26" i="4"/>
  <c r="J27" i="4"/>
  <c r="J28" i="4"/>
  <c r="J29" i="4"/>
  <c r="J30" i="4"/>
  <c r="J31" i="4"/>
  <c r="I26" i="4"/>
  <c r="I27" i="4"/>
  <c r="I28" i="4"/>
  <c r="I29" i="4"/>
  <c r="I30" i="4"/>
  <c r="I31" i="4"/>
  <c r="H26" i="4"/>
  <c r="H27" i="4"/>
  <c r="H28" i="4"/>
  <c r="H29" i="4"/>
  <c r="H30" i="4"/>
  <c r="H31" i="4"/>
  <c r="G26" i="4"/>
  <c r="G27" i="4"/>
  <c r="G28" i="4"/>
  <c r="G29" i="4"/>
  <c r="G30" i="4"/>
  <c r="G31" i="4"/>
  <c r="F26" i="4"/>
  <c r="F27" i="4"/>
  <c r="F28" i="4"/>
  <c r="F29" i="4"/>
  <c r="F30" i="4"/>
  <c r="F31" i="4"/>
  <c r="E26" i="4"/>
  <c r="E27" i="4"/>
  <c r="E28" i="4"/>
  <c r="E29" i="4"/>
  <c r="E30" i="4"/>
  <c r="E31" i="4"/>
  <c r="D26" i="4"/>
  <c r="D27" i="4"/>
  <c r="D28" i="4"/>
  <c r="D29" i="4"/>
  <c r="D30" i="4"/>
  <c r="D31" i="4"/>
  <c r="C26" i="4"/>
  <c r="C27" i="4"/>
  <c r="C28" i="4"/>
  <c r="C29" i="4"/>
  <c r="C30" i="4"/>
  <c r="C31" i="4"/>
  <c r="B26" i="4"/>
  <c r="B27" i="4"/>
  <c r="B28" i="4"/>
  <c r="B29" i="4"/>
  <c r="B30" i="4"/>
  <c r="B31" i="4"/>
  <c r="R9" i="4"/>
  <c r="R10" i="4"/>
  <c r="R11" i="4"/>
  <c r="R12" i="4"/>
  <c r="R13" i="4"/>
  <c r="R14" i="4"/>
  <c r="Q9" i="4"/>
  <c r="Q10" i="4"/>
  <c r="Q11" i="4"/>
  <c r="Q12" i="4"/>
  <c r="Q13" i="4"/>
  <c r="Q14" i="4"/>
  <c r="P9" i="4"/>
  <c r="P10" i="4"/>
  <c r="P11" i="4"/>
  <c r="P12" i="4"/>
  <c r="P13" i="4"/>
  <c r="P14" i="4"/>
  <c r="O9" i="4"/>
  <c r="O10" i="4"/>
  <c r="O11" i="4"/>
  <c r="O12" i="4"/>
  <c r="O13" i="4"/>
  <c r="O14" i="4"/>
  <c r="N9" i="4"/>
  <c r="N10" i="4"/>
  <c r="N11" i="4"/>
  <c r="N12" i="4"/>
  <c r="N13" i="4"/>
  <c r="N14" i="4"/>
  <c r="M9" i="4"/>
  <c r="M10" i="4"/>
  <c r="M11" i="4"/>
  <c r="M12" i="4"/>
  <c r="M13" i="4"/>
  <c r="M14" i="4"/>
  <c r="L9" i="4"/>
  <c r="L10" i="4"/>
  <c r="L11" i="4"/>
  <c r="L12" i="4"/>
  <c r="L13" i="4"/>
  <c r="L14" i="4"/>
  <c r="K9" i="4"/>
  <c r="K10" i="4"/>
  <c r="K11" i="4"/>
  <c r="K12" i="4"/>
  <c r="K13" i="4"/>
  <c r="K14" i="4"/>
  <c r="J9" i="4"/>
  <c r="J10" i="4"/>
  <c r="J11" i="4"/>
  <c r="J12" i="4"/>
  <c r="J13" i="4"/>
  <c r="J14" i="4"/>
  <c r="I9" i="4"/>
  <c r="I10" i="4"/>
  <c r="I11" i="4"/>
  <c r="I12" i="4"/>
  <c r="I13" i="4"/>
  <c r="I14" i="4"/>
  <c r="H9" i="4"/>
  <c r="H10" i="4"/>
  <c r="H11" i="4"/>
  <c r="H12" i="4"/>
  <c r="H13" i="4"/>
  <c r="H14" i="4"/>
  <c r="G9" i="4"/>
  <c r="G10" i="4"/>
  <c r="G11" i="4"/>
  <c r="G12" i="4"/>
  <c r="G13" i="4"/>
  <c r="G14" i="4"/>
  <c r="F9" i="4"/>
  <c r="F10" i="4"/>
  <c r="F11" i="4"/>
  <c r="F12" i="4"/>
  <c r="F13" i="4"/>
  <c r="F14" i="4"/>
  <c r="E9" i="4"/>
  <c r="E10" i="4"/>
  <c r="E11" i="4"/>
  <c r="E12" i="4"/>
  <c r="E13" i="4"/>
  <c r="E14" i="4"/>
  <c r="D9" i="4"/>
  <c r="D10" i="4"/>
  <c r="D11" i="4"/>
  <c r="D12" i="4"/>
  <c r="D13" i="4"/>
  <c r="D14" i="4"/>
  <c r="C9" i="4"/>
  <c r="C10" i="4"/>
  <c r="C11" i="4"/>
  <c r="C12" i="4"/>
  <c r="C13" i="4"/>
  <c r="C14" i="4"/>
  <c r="B9" i="4"/>
  <c r="B10" i="4"/>
  <c r="B11" i="4"/>
  <c r="B12" i="4"/>
  <c r="B13" i="4"/>
  <c r="B14" i="4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R30" i="1"/>
  <c r="R33" i="1"/>
  <c r="Q30" i="1"/>
  <c r="Q33" i="1"/>
  <c r="P30" i="1"/>
  <c r="P33" i="1"/>
  <c r="O30" i="1"/>
  <c r="O33" i="1"/>
  <c r="N30" i="1"/>
  <c r="N33" i="1"/>
  <c r="M30" i="1"/>
  <c r="M33" i="1"/>
  <c r="L30" i="1"/>
  <c r="L33" i="1"/>
  <c r="K30" i="1"/>
  <c r="K33" i="1"/>
  <c r="J30" i="1"/>
  <c r="J33" i="1"/>
  <c r="I30" i="1"/>
  <c r="I33" i="1"/>
  <c r="H30" i="1"/>
  <c r="H33" i="1"/>
  <c r="G30" i="1"/>
  <c r="G33" i="1"/>
  <c r="F30" i="1"/>
  <c r="F33" i="1"/>
  <c r="E30" i="1"/>
  <c r="E33" i="1"/>
  <c r="D30" i="1"/>
  <c r="D33" i="1"/>
  <c r="C30" i="1"/>
  <c r="C33" i="1"/>
  <c r="B30" i="1"/>
  <c r="B33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<sst xmlns="http://schemas.openxmlformats.org/spreadsheetml/2006/main" count="1989" uniqueCount="80">
  <si>
    <t>GDP per capita (constant 2000 US$)</t>
  </si>
  <si>
    <t>GDP per person employed (constant 1990 PPP $)</t>
  </si>
  <si>
    <t>Gross domestic savings (% of GDP)</t>
  </si>
  <si>
    <t>Trade (% of GDP)</t>
  </si>
  <si>
    <t>gdp</t>
  </si>
  <si>
    <t>emp</t>
  </si>
  <si>
    <t>sav</t>
  </si>
  <si>
    <t>life</t>
  </si>
  <si>
    <t>sch</t>
  </si>
  <si>
    <t>Country Code</t>
  </si>
  <si>
    <t>ARG</t>
  </si>
  <si>
    <t>BGR</t>
  </si>
  <si>
    <t>CHL</t>
  </si>
  <si>
    <t>CHN</t>
  </si>
  <si>
    <t>COL</t>
  </si>
  <si>
    <t>CRI</t>
  </si>
  <si>
    <t>IND</t>
  </si>
  <si>
    <t>IDN</t>
  </si>
  <si>
    <t>MYS</t>
  </si>
  <si>
    <t>MEX</t>
  </si>
  <si>
    <t>PER</t>
  </si>
  <si>
    <t>PHL</t>
  </si>
  <si>
    <t>THA</t>
  </si>
  <si>
    <t>TUN</t>
  </si>
  <si>
    <t>TUR</t>
  </si>
  <si>
    <t>URY</t>
  </si>
  <si>
    <t>VEN</t>
  </si>
  <si>
    <t>Life expectancy at birth, total (years)</t>
  </si>
  <si>
    <t>AUT</t>
  </si>
  <si>
    <t>BEL</t>
  </si>
  <si>
    <t>CAN</t>
  </si>
  <si>
    <t>DNK</t>
  </si>
  <si>
    <t>FIN</t>
  </si>
  <si>
    <t>FRA</t>
  </si>
  <si>
    <t>ITA</t>
  </si>
  <si>
    <t>IRL</t>
  </si>
  <si>
    <t>JPN</t>
  </si>
  <si>
    <t>NLD</t>
  </si>
  <si>
    <t>NZL</t>
  </si>
  <si>
    <t>NOR</t>
  </si>
  <si>
    <t>ESP</t>
  </si>
  <si>
    <t>SWE</t>
  </si>
  <si>
    <t>CHE</t>
  </si>
  <si>
    <t>GBR</t>
  </si>
  <si>
    <t>USA</t>
  </si>
  <si>
    <t>Sch</t>
  </si>
  <si>
    <t>CHCI-10</t>
  </si>
  <si>
    <t>Electric power consumption (kWh per capita)</t>
  </si>
  <si>
    <t>School enrollment, secondary (% gross)</t>
  </si>
  <si>
    <t>CHCI-09</t>
  </si>
  <si>
    <t>CHCI-08</t>
  </si>
  <si>
    <t>CHCI-07</t>
  </si>
  <si>
    <t>CHCI-06</t>
  </si>
  <si>
    <t>CHCI-05</t>
  </si>
  <si>
    <t>CHCI-04</t>
  </si>
  <si>
    <t>ecosos03</t>
  </si>
  <si>
    <t>CHCI-99</t>
  </si>
  <si>
    <t>CHCI-00</t>
  </si>
  <si>
    <t>CHCI-01</t>
  </si>
  <si>
    <t>CHCI-02</t>
  </si>
  <si>
    <t>CHCI-03</t>
  </si>
  <si>
    <t>CHCI-98</t>
  </si>
  <si>
    <t>CHCI-97</t>
  </si>
  <si>
    <t>CHCI-96</t>
  </si>
  <si>
    <t>CHCI-95</t>
  </si>
  <si>
    <t>CHCI-94</t>
  </si>
  <si>
    <t>CHCI-93</t>
  </si>
  <si>
    <t>CHCI-92</t>
  </si>
  <si>
    <t>CHCI-91</t>
  </si>
  <si>
    <t>CHCI-90</t>
  </si>
  <si>
    <t>CHCI-89</t>
  </si>
  <si>
    <t>CHCI-88</t>
  </si>
  <si>
    <t>CHCI-87</t>
  </si>
  <si>
    <t>CHCI-86</t>
  </si>
  <si>
    <t>1985</t>
  </si>
  <si>
    <t>CHCI-85</t>
  </si>
  <si>
    <t>CHCI-12</t>
  </si>
  <si>
    <t>CHCI-11</t>
  </si>
  <si>
    <t>CHCI</t>
  </si>
  <si>
    <t>With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</si>
</sst>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1"/>
      <color theme="1"/>
      <name val="Calibri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3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49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3" fillId="0" borderId="0" xfId="1" applyFont="1"/>
    <xf numFmtId="164" fontId="3" fillId="0" borderId="0" xfId="1" applyNumberFormat="1" applyFont="1"/>
    <xf numFmtId="49" fontId="3" fillId="0" borderId="0" xfId="1" applyNumberFormat="1" applyFont="1"/>
    <xf numFmtId="164" fontId="0" fillId="0" borderId="0" xfId="0" applyNumberFormat="1" applyFont="1"/>
    <xf numFmtId="0" fontId="1" fillId="0" borderId="0" xfId="1" applyFont="1"/>
    <xf numFmtId="164" fontId="0" fillId="0" borderId="0" xfId="0" applyNumberFormat="1"/>
    <xf numFmtId="164" fontId="2" fillId="0" borderId="0" xfId="1" applyNumberFormat="1"/>
    <xf numFmtId="3" fontId="3" fillId="0" borderId="0" xfId="0" applyNumberFormat="1" applyFont="1"/>
    <xf numFmtId="165" fontId="3" fillId="0" borderId="0" xfId="0" applyNumberFormat="1" applyFont="1"/>
    <xf numFmtId="0" fontId="0" fillId="2" borderId="0" xfId="0" applyFill="1"/>
  </cellXfs>
  <cellStyles count="734">
    <cellStyle name="İzlenen Köprü" xfId="3" builtinId="9" hidden="1"/>
    <cellStyle name="İzlenen Köprü" xfId="5" builtinId="9" hidden="1"/>
    <cellStyle name="İzlenen Köprü" xfId="7" builtinId="9" hidden="1"/>
    <cellStyle name="İzlenen Köprü" xfId="9" builtinId="9" hidden="1"/>
    <cellStyle name="İzlenen Köprü" xfId="11" builtinId="9" hidden="1"/>
    <cellStyle name="İzlenen Köprü" xfId="13" builtinId="9" hidden="1"/>
    <cellStyle name="İzlenen Köprü" xfId="15" builtinId="9" hidden="1"/>
    <cellStyle name="İzlenen Köprü" xfId="17" builtinId="9" hidden="1"/>
    <cellStyle name="İzlenen Köprü" xfId="19" builtinId="9" hidden="1"/>
    <cellStyle name="İzlenen Köprü" xfId="21" builtinId="9" hidden="1"/>
    <cellStyle name="İzlenen Köprü" xfId="23" builtinId="9" hidden="1"/>
    <cellStyle name="İzlenen Köprü" xfId="25" builtinId="9" hidden="1"/>
    <cellStyle name="İzlenen Köprü" xfId="27" builtinId="9" hidden="1"/>
    <cellStyle name="İzlenen Köprü" xfId="29" builtinId="9" hidden="1"/>
    <cellStyle name="İzlenen Köprü" xfId="31" builtinId="9" hidden="1"/>
    <cellStyle name="İzlenen Köprü" xfId="33" builtinId="9" hidden="1"/>
    <cellStyle name="İzlenen Köprü" xfId="35" builtinId="9" hidden="1"/>
    <cellStyle name="İzlenen Köprü" xfId="37" builtinId="9" hidden="1"/>
    <cellStyle name="İzlenen Köprü" xfId="39" builtinId="9" hidden="1"/>
    <cellStyle name="İzlenen Köprü" xfId="41" builtinId="9" hidden="1"/>
    <cellStyle name="İzlenen Köprü" xfId="43" builtinId="9" hidden="1"/>
    <cellStyle name="İzlenen Köprü" xfId="45" builtinId="9" hidden="1"/>
    <cellStyle name="İzlenen Köprü" xfId="47" builtinId="9" hidden="1"/>
    <cellStyle name="İzlenen Köprü" xfId="49" builtinId="9" hidden="1"/>
    <cellStyle name="İzlenen Köprü" xfId="51" builtinId="9" hidden="1"/>
    <cellStyle name="İzlenen Köprü" xfId="53" builtinId="9" hidden="1"/>
    <cellStyle name="İzlenen Köprü" xfId="55" builtinId="9" hidden="1"/>
    <cellStyle name="İzlenen Köprü" xfId="57" builtinId="9" hidden="1"/>
    <cellStyle name="İzlenen Köprü" xfId="59" builtinId="9" hidden="1"/>
    <cellStyle name="İzlenen Köprü" xfId="61" builtinId="9" hidden="1"/>
    <cellStyle name="İzlenen Köprü" xfId="63" builtinId="9" hidden="1"/>
    <cellStyle name="İzlenen Köprü" xfId="65" builtinId="9" hidden="1"/>
    <cellStyle name="İzlenen Köprü" xfId="67" builtinId="9" hidden="1"/>
    <cellStyle name="İzlenen Köprü" xfId="69" builtinId="9" hidden="1"/>
    <cellStyle name="İzlenen Köprü" xfId="71" builtinId="9" hidden="1"/>
    <cellStyle name="İzlenen Köprü" xfId="73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İzlenen Köprü" xfId="87" builtinId="9" hidden="1"/>
    <cellStyle name="İzlenen Köprü" xfId="89" builtinId="9" hidden="1"/>
    <cellStyle name="İzlenen Köprü" xfId="91" builtinId="9" hidden="1"/>
    <cellStyle name="İzlenen Köprü" xfId="93" builtinId="9" hidden="1"/>
    <cellStyle name="İzlenen Köprü" xfId="95" builtinId="9" hidden="1"/>
    <cellStyle name="İzlenen Köprü" xfId="97" builtinId="9" hidden="1"/>
    <cellStyle name="İzlenen Köprü" xfId="99" builtinId="9" hidden="1"/>
    <cellStyle name="İzlenen Köprü" xfId="101" builtinId="9" hidden="1"/>
    <cellStyle name="İzlenen Köprü" xfId="103" builtinId="9" hidden="1"/>
    <cellStyle name="İzlenen Köprü" xfId="105" builtinId="9" hidden="1"/>
    <cellStyle name="İzlenen Köprü" xfId="107" builtinId="9" hidden="1"/>
    <cellStyle name="İzlenen Köprü" xfId="109" builtinId="9" hidden="1"/>
    <cellStyle name="İzlenen Köprü" xfId="111" builtinId="9" hidden="1"/>
    <cellStyle name="İzlenen Köprü" xfId="113" builtinId="9" hidden="1"/>
    <cellStyle name="İzlenen Köprü" xfId="115" builtinId="9" hidden="1"/>
    <cellStyle name="İzlenen Köprü" xfId="117" builtinId="9" hidden="1"/>
    <cellStyle name="İzlenen Köprü" xfId="119" builtinId="9" hidden="1"/>
    <cellStyle name="İzlenen Köprü" xfId="121" builtinId="9" hidden="1"/>
    <cellStyle name="İzlenen Köprü" xfId="123" builtinId="9" hidden="1"/>
    <cellStyle name="İzlenen Köprü" xfId="125" builtinId="9" hidden="1"/>
    <cellStyle name="İzlenen Köprü" xfId="127" builtinId="9" hidden="1"/>
    <cellStyle name="İzlenen Köprü" xfId="129" builtinId="9" hidden="1"/>
    <cellStyle name="İzlenen Köprü" xfId="131" builtinId="9" hidden="1"/>
    <cellStyle name="İzlenen Köprü" xfId="133" builtinId="9" hidden="1"/>
    <cellStyle name="İzlenen Köprü" xfId="135" builtinId="9" hidden="1"/>
    <cellStyle name="İzlenen Köprü" xfId="137" builtinId="9" hidden="1"/>
    <cellStyle name="İzlenen Köprü" xfId="139" builtinId="9" hidden="1"/>
    <cellStyle name="İzlenen Köprü" xfId="141" builtinId="9" hidden="1"/>
    <cellStyle name="İzlenen Köprü" xfId="143" builtinId="9" hidden="1"/>
    <cellStyle name="İzlenen Köprü" xfId="145" builtinId="9" hidden="1"/>
    <cellStyle name="İzlenen Köprü" xfId="147" builtinId="9" hidden="1"/>
    <cellStyle name="İzlenen Köprü" xfId="149" builtinId="9" hidden="1"/>
    <cellStyle name="İzlenen Köprü" xfId="151" builtinId="9" hidden="1"/>
    <cellStyle name="İzlenen Köprü" xfId="153" builtinId="9" hidden="1"/>
    <cellStyle name="İzlenen Köprü" xfId="155" builtinId="9" hidden="1"/>
    <cellStyle name="İzlenen Köprü" xfId="157" builtinId="9" hidden="1"/>
    <cellStyle name="İzlenen Köprü" xfId="159" builtinId="9" hidden="1"/>
    <cellStyle name="İzlenen Köprü" xfId="161" builtinId="9" hidden="1"/>
    <cellStyle name="İzlenen Köprü" xfId="163" builtinId="9" hidden="1"/>
    <cellStyle name="İzlenen Köprü" xfId="165" builtinId="9" hidden="1"/>
    <cellStyle name="İzlenen Köprü" xfId="167" builtinId="9" hidden="1"/>
    <cellStyle name="İzlenen Köprü" xfId="169" builtinId="9" hidden="1"/>
    <cellStyle name="İzlenen Köprü" xfId="171" builtinId="9" hidden="1"/>
    <cellStyle name="İzlenen Köprü" xfId="173" builtinId="9" hidden="1"/>
    <cellStyle name="İzlenen Köprü" xfId="175" builtinId="9" hidden="1"/>
    <cellStyle name="İzlenen Köprü" xfId="177" builtinId="9" hidden="1"/>
    <cellStyle name="İzlenen Köprü" xfId="179" builtinId="9" hidden="1"/>
    <cellStyle name="İzlenen Köprü" xfId="181" builtinId="9" hidden="1"/>
    <cellStyle name="İzlenen Köprü" xfId="183" builtinId="9" hidden="1"/>
    <cellStyle name="İzlenen Köprü" xfId="185" builtinId="9" hidden="1"/>
    <cellStyle name="İzlenen Köprü" xfId="187" builtinId="9" hidden="1"/>
    <cellStyle name="İzlenen Köprü" xfId="189" builtinId="9" hidden="1"/>
    <cellStyle name="İzlenen Köprü" xfId="191" builtinId="9" hidden="1"/>
    <cellStyle name="İzlenen Köprü" xfId="193" builtinId="9" hidden="1"/>
    <cellStyle name="İzlenen Köprü" xfId="195" builtinId="9" hidden="1"/>
    <cellStyle name="İzlenen Köprü" xfId="197" builtinId="9" hidden="1"/>
    <cellStyle name="İzlenen Köprü" xfId="199" builtinId="9" hidden="1"/>
    <cellStyle name="İzlenen Köprü" xfId="201" builtinId="9" hidden="1"/>
    <cellStyle name="İzlenen Köprü" xfId="203" builtinId="9" hidden="1"/>
    <cellStyle name="İzlenen Köprü" xfId="205" builtinId="9" hidden="1"/>
    <cellStyle name="İzlenen Köprü" xfId="207" builtinId="9" hidden="1"/>
    <cellStyle name="İzlenen Köprü" xfId="209" builtinId="9" hidden="1"/>
    <cellStyle name="İzlenen Köprü" xfId="211" builtinId="9" hidden="1"/>
    <cellStyle name="İzlenen Köprü" xfId="213" builtinId="9" hidden="1"/>
    <cellStyle name="İzlenen Köprü" xfId="215" builtinId="9" hidden="1"/>
    <cellStyle name="İzlenen Köprü" xfId="217" builtinId="9" hidden="1"/>
    <cellStyle name="İzlenen Köprü" xfId="219" builtinId="9" hidden="1"/>
    <cellStyle name="İzlenen Köprü" xfId="221" builtinId="9" hidden="1"/>
    <cellStyle name="İzlenen Köprü" xfId="223" builtinId="9" hidden="1"/>
    <cellStyle name="İzlenen Köprü" xfId="225" builtinId="9" hidden="1"/>
    <cellStyle name="İzlenen Köprü" xfId="227" builtinId="9" hidden="1"/>
    <cellStyle name="İzlenen Köprü" xfId="229" builtinId="9" hidden="1"/>
    <cellStyle name="İzlenen Köprü" xfId="231" builtinId="9" hidden="1"/>
    <cellStyle name="İzlenen Köprü" xfId="233" builtinId="9" hidden="1"/>
    <cellStyle name="İzlenen Köprü" xfId="235" builtinId="9" hidden="1"/>
    <cellStyle name="İzlenen Köprü" xfId="237" builtinId="9" hidden="1"/>
    <cellStyle name="İzlenen Köprü" xfId="239" builtinId="9" hidden="1"/>
    <cellStyle name="İzlenen Köprü" xfId="241" builtinId="9" hidden="1"/>
    <cellStyle name="İzlenen Köprü" xfId="243" builtinId="9" hidden="1"/>
    <cellStyle name="İzlenen Köprü" xfId="245" builtinId="9" hidden="1"/>
    <cellStyle name="İzlenen Köprü" xfId="247" builtinId="9" hidden="1"/>
    <cellStyle name="İzlenen Köprü" xfId="249" builtinId="9" hidden="1"/>
    <cellStyle name="İzlenen Köprü" xfId="251" builtinId="9" hidden="1"/>
    <cellStyle name="İzlenen Köprü" xfId="253" builtinId="9" hidden="1"/>
    <cellStyle name="İzlenen Köprü" xfId="255" builtinId="9" hidden="1"/>
    <cellStyle name="İzlenen Köprü" xfId="257" builtinId="9" hidden="1"/>
    <cellStyle name="İzlenen Köprü" xfId="259" builtinId="9" hidden="1"/>
    <cellStyle name="İzlenen Köprü" xfId="261" builtinId="9" hidden="1"/>
    <cellStyle name="İzlenen Köprü" xfId="263" builtinId="9" hidden="1"/>
    <cellStyle name="İzlenen Köprü" xfId="265" builtinId="9" hidden="1"/>
    <cellStyle name="İzlenen Köprü" xfId="267" builtinId="9" hidden="1"/>
    <cellStyle name="İzlenen Köprü" xfId="269" builtinId="9" hidden="1"/>
    <cellStyle name="İzlenen Köprü" xfId="271" builtinId="9" hidden="1"/>
    <cellStyle name="İzlenen Köprü" xfId="273" builtinId="9" hidden="1"/>
    <cellStyle name="İzlenen Köprü" xfId="275" builtinId="9" hidden="1"/>
    <cellStyle name="İzlenen Köprü" xfId="277" builtinId="9" hidden="1"/>
    <cellStyle name="İzlenen Köprü" xfId="279" builtinId="9" hidden="1"/>
    <cellStyle name="İzlenen Köprü" xfId="281" builtinId="9" hidden="1"/>
    <cellStyle name="İzlenen Köprü" xfId="283" builtinId="9" hidden="1"/>
    <cellStyle name="İzlenen Köprü" xfId="285" builtinId="9" hidden="1"/>
    <cellStyle name="İzlenen Köprü" xfId="287" builtinId="9" hidden="1"/>
    <cellStyle name="İzlenen Köprü" xfId="289" builtinId="9" hidden="1"/>
    <cellStyle name="İzlenen Köprü" xfId="291" builtinId="9" hidden="1"/>
    <cellStyle name="İzlenen Köprü" xfId="293" builtinId="9" hidden="1"/>
    <cellStyle name="İzlenen Köprü" xfId="295" builtinId="9" hidden="1"/>
    <cellStyle name="İzlenen Köprü" xfId="297" builtinId="9" hidden="1"/>
    <cellStyle name="İzlenen Köprü" xfId="299" builtinId="9" hidden="1"/>
    <cellStyle name="İzlenen Köprü" xfId="301" builtinId="9" hidden="1"/>
    <cellStyle name="İzlenen Köprü" xfId="303" builtinId="9" hidden="1"/>
    <cellStyle name="İzlenen Köprü" xfId="305" builtinId="9" hidden="1"/>
    <cellStyle name="İzlenen Köprü" xfId="307" builtinId="9" hidden="1"/>
    <cellStyle name="İzlenen Köprü" xfId="309" builtinId="9" hidden="1"/>
    <cellStyle name="İzlenen Köprü" xfId="311" builtinId="9" hidden="1"/>
    <cellStyle name="İzlenen Köprü" xfId="313" builtinId="9" hidden="1"/>
    <cellStyle name="İzlenen Köprü" xfId="315" builtinId="9" hidden="1"/>
    <cellStyle name="İzlenen Köprü" xfId="317" builtinId="9" hidden="1"/>
    <cellStyle name="İzlenen Köprü" xfId="319" builtinId="9" hidden="1"/>
    <cellStyle name="İzlenen Köprü" xfId="321" builtinId="9" hidden="1"/>
    <cellStyle name="İzlenen Köprü" xfId="323" builtinId="9" hidden="1"/>
    <cellStyle name="İzlenen Köprü" xfId="325" builtinId="9" hidden="1"/>
    <cellStyle name="İzlenen Köprü" xfId="327" builtinId="9" hidden="1"/>
    <cellStyle name="İzlenen Köprü" xfId="329" builtinId="9" hidden="1"/>
    <cellStyle name="İzlenen Köprü" xfId="331" builtinId="9" hidden="1"/>
    <cellStyle name="İzlenen Köprü" xfId="333" builtinId="9" hidden="1"/>
    <cellStyle name="İzlenen Köprü" xfId="335" builtinId="9" hidden="1"/>
    <cellStyle name="İzlenen Köprü" xfId="337" builtinId="9" hidden="1"/>
    <cellStyle name="İzlenen Köprü" xfId="339" builtinId="9" hidden="1"/>
    <cellStyle name="İzlenen Köprü" xfId="341" builtinId="9" hidden="1"/>
    <cellStyle name="İzlenen Köprü" xfId="343" builtinId="9" hidden="1"/>
    <cellStyle name="İzlenen Köprü" xfId="345" builtinId="9" hidden="1"/>
    <cellStyle name="İzlenen Köprü" xfId="347" builtinId="9" hidden="1"/>
    <cellStyle name="İzlenen Köprü" xfId="349" builtinId="9" hidden="1"/>
    <cellStyle name="İzlenen Köprü" xfId="351" builtinId="9" hidden="1"/>
    <cellStyle name="İzlenen Köprü" xfId="353" builtinId="9" hidden="1"/>
    <cellStyle name="İzlenen Köprü" xfId="355" builtinId="9" hidden="1"/>
    <cellStyle name="İzlenen Köprü" xfId="357" builtinId="9" hidden="1"/>
    <cellStyle name="İzlenen Köprü" xfId="359" builtinId="9" hidden="1"/>
    <cellStyle name="İzlenen Köprü" xfId="361" builtinId="9" hidden="1"/>
    <cellStyle name="İzlenen Köprü" xfId="363" builtinId="9" hidden="1"/>
    <cellStyle name="İzlenen Köprü" xfId="365" builtinId="9" hidden="1"/>
    <cellStyle name="İzlenen Köprü" xfId="367" builtinId="9" hidden="1"/>
    <cellStyle name="İzlenen Köprü" xfId="369" builtinId="9" hidden="1"/>
    <cellStyle name="İzlenen Köprü" xfId="371" builtinId="9" hidden="1"/>
    <cellStyle name="İzlenen Köprü" xfId="373" builtinId="9" hidden="1"/>
    <cellStyle name="İzlenen Köprü" xfId="375" builtinId="9" hidden="1"/>
    <cellStyle name="İzlenen Köprü" xfId="377" builtinId="9" hidden="1"/>
    <cellStyle name="İzlenen Köprü" xfId="379" builtinId="9" hidden="1"/>
    <cellStyle name="İzlenen Köprü" xfId="381" builtinId="9" hidden="1"/>
    <cellStyle name="İzlenen Köprü" xfId="383" builtinId="9" hidden="1"/>
    <cellStyle name="İzlenen Köprü" xfId="385" builtinId="9" hidden="1"/>
    <cellStyle name="İzlenen Köprü" xfId="387" builtinId="9" hidden="1"/>
    <cellStyle name="İzlenen Köprü" xfId="389" builtinId="9" hidden="1"/>
    <cellStyle name="İzlenen Köprü" xfId="391" builtinId="9" hidden="1"/>
    <cellStyle name="İzlenen Köprü" xfId="393" builtinId="9" hidden="1"/>
    <cellStyle name="İzlenen Köprü" xfId="395" builtinId="9" hidden="1"/>
    <cellStyle name="İzlenen Köprü" xfId="397" builtinId="9" hidden="1"/>
    <cellStyle name="İzlenen Köprü" xfId="399" builtinId="9" hidden="1"/>
    <cellStyle name="İzlenen Köprü" xfId="401" builtinId="9" hidden="1"/>
    <cellStyle name="İzlenen Köprü" xfId="403" builtinId="9" hidden="1"/>
    <cellStyle name="İzlenen Köprü" xfId="405" builtinId="9" hidden="1"/>
    <cellStyle name="İzlenen Köprü" xfId="407" builtinId="9" hidden="1"/>
    <cellStyle name="İzlenen Köprü" xfId="409" builtinId="9" hidden="1"/>
    <cellStyle name="İzlenen Köprü" xfId="411" builtinId="9" hidden="1"/>
    <cellStyle name="İzlenen Köprü" xfId="413" builtinId="9" hidden="1"/>
    <cellStyle name="İzlenen Köprü" xfId="415" builtinId="9" hidden="1"/>
    <cellStyle name="İzlenen Köprü" xfId="417" builtinId="9" hidden="1"/>
    <cellStyle name="İzlenen Köprü" xfId="419" builtinId="9" hidden="1"/>
    <cellStyle name="İzlenen Köprü" xfId="421" builtinId="9" hidden="1"/>
    <cellStyle name="İzlenen Köprü" xfId="423" builtinId="9" hidden="1"/>
    <cellStyle name="İzlenen Köprü" xfId="425" builtinId="9" hidden="1"/>
    <cellStyle name="İzlenen Köprü" xfId="427" builtinId="9" hidden="1"/>
    <cellStyle name="İzlenen Köprü" xfId="429" builtinId="9" hidden="1"/>
    <cellStyle name="İzlenen Köprü" xfId="431" builtinId="9" hidden="1"/>
    <cellStyle name="İzlenen Köprü" xfId="433" builtinId="9" hidden="1"/>
    <cellStyle name="İzlenen Köprü" xfId="435" builtinId="9" hidden="1"/>
    <cellStyle name="İzlenen Köprü" xfId="437" builtinId="9" hidden="1"/>
    <cellStyle name="İzlenen Köprü" xfId="439" builtinId="9" hidden="1"/>
    <cellStyle name="İzlenen Köprü" xfId="441" builtinId="9" hidden="1"/>
    <cellStyle name="İzlenen Köprü" xfId="443" builtinId="9" hidden="1"/>
    <cellStyle name="İzlenen Köprü" xfId="445" builtinId="9" hidden="1"/>
    <cellStyle name="İzlenen Köprü" xfId="447" builtinId="9" hidden="1"/>
    <cellStyle name="İzlenen Köprü" xfId="449" builtinId="9" hidden="1"/>
    <cellStyle name="İzlenen Köprü" xfId="451" builtinId="9" hidden="1"/>
    <cellStyle name="İzlenen Köprü" xfId="453" builtinId="9" hidden="1"/>
    <cellStyle name="İzlenen Köprü" xfId="455" builtinId="9" hidden="1"/>
    <cellStyle name="İzlenen Köprü" xfId="457" builtinId="9" hidden="1"/>
    <cellStyle name="İzlenen Köprü" xfId="459" builtinId="9" hidden="1"/>
    <cellStyle name="İzlenen Köprü" xfId="461" builtinId="9" hidden="1"/>
    <cellStyle name="İzlenen Köprü" xfId="463" builtinId="9" hidden="1"/>
    <cellStyle name="İzlenen Köprü" xfId="465" builtinId="9" hidden="1"/>
    <cellStyle name="İzlenen Köprü" xfId="467" builtinId="9" hidden="1"/>
    <cellStyle name="İzlenen Köprü" xfId="469" builtinId="9" hidden="1"/>
    <cellStyle name="İzlenen Köprü" xfId="471" builtinId="9" hidden="1"/>
    <cellStyle name="İzlenen Köprü" xfId="473" builtinId="9" hidden="1"/>
    <cellStyle name="İzlenen Köprü" xfId="475" builtinId="9" hidden="1"/>
    <cellStyle name="İzlenen Köprü" xfId="477" builtinId="9" hidden="1"/>
    <cellStyle name="İzlenen Köprü" xfId="479" builtinId="9" hidden="1"/>
    <cellStyle name="İzlenen Köprü" xfId="481" builtinId="9" hidden="1"/>
    <cellStyle name="İzlenen Köprü" xfId="483" builtinId="9" hidden="1"/>
    <cellStyle name="İzlenen Köprü" xfId="485" builtinId="9" hidden="1"/>
    <cellStyle name="İzlenen Köprü" xfId="487" builtinId="9" hidden="1"/>
    <cellStyle name="İzlenen Köprü" xfId="489" builtinId="9" hidden="1"/>
    <cellStyle name="İzlenen Köprü" xfId="491" builtinId="9" hidden="1"/>
    <cellStyle name="İzlenen Köprü" xfId="493" builtinId="9" hidden="1"/>
    <cellStyle name="İzlenen Köprü" xfId="495" builtinId="9" hidden="1"/>
    <cellStyle name="İzlenen Köprü" xfId="497" builtinId="9" hidden="1"/>
    <cellStyle name="İzlenen Köprü" xfId="499" builtinId="9" hidden="1"/>
    <cellStyle name="İzlenen Köprü" xfId="501" builtinId="9" hidden="1"/>
    <cellStyle name="İzlenen Köprü" xfId="503" builtinId="9" hidden="1"/>
    <cellStyle name="İzlenen Köprü" xfId="505" builtinId="9" hidden="1"/>
    <cellStyle name="İzlenen Köprü" xfId="507" builtinId="9" hidden="1"/>
    <cellStyle name="İzlenen Köprü" xfId="509" builtinId="9" hidden="1"/>
    <cellStyle name="İzlenen Köprü" xfId="511" builtinId="9" hidden="1"/>
    <cellStyle name="İzlenen Köprü" xfId="513" builtinId="9" hidden="1"/>
    <cellStyle name="İzlenen Köprü" xfId="515" builtinId="9" hidden="1"/>
    <cellStyle name="İzlenen Köprü" xfId="517" builtinId="9" hidden="1"/>
    <cellStyle name="İzlenen Köprü" xfId="519" builtinId="9" hidden="1"/>
    <cellStyle name="İzlenen Köprü" xfId="521" builtinId="9" hidden="1"/>
    <cellStyle name="İzlenen Köprü" xfId="523" builtinId="9" hidden="1"/>
    <cellStyle name="İzlenen Köprü" xfId="525" builtinId="9" hidden="1"/>
    <cellStyle name="İzlenen Köprü" xfId="527" builtinId="9" hidden="1"/>
    <cellStyle name="İzlenen Köprü" xfId="529" builtinId="9" hidden="1"/>
    <cellStyle name="İzlenen Köprü" xfId="531" builtinId="9" hidden="1"/>
    <cellStyle name="İzlenen Köprü" xfId="533" builtinId="9" hidden="1"/>
    <cellStyle name="İzlenen Köprü" xfId="535" builtinId="9" hidden="1"/>
    <cellStyle name="İzlenen Köprü" xfId="537" builtinId="9" hidden="1"/>
    <cellStyle name="İzlenen Köprü" xfId="539" builtinId="9" hidden="1"/>
    <cellStyle name="İzlenen Köprü" xfId="541" builtinId="9" hidden="1"/>
    <cellStyle name="İzlenen Köprü" xfId="543" builtinId="9" hidden="1"/>
    <cellStyle name="İzlenen Köprü" xfId="545" builtinId="9" hidden="1"/>
    <cellStyle name="İzlenen Köprü" xfId="547" builtinId="9" hidden="1"/>
    <cellStyle name="İzlenen Köprü" xfId="549" builtinId="9" hidden="1"/>
    <cellStyle name="İzlenen Köprü" xfId="551" builtinId="9" hidden="1"/>
    <cellStyle name="İzlenen Köprü" xfId="553" builtinId="9" hidden="1"/>
    <cellStyle name="İzlenen Köprü" xfId="555" builtinId="9" hidden="1"/>
    <cellStyle name="İzlenen Köprü" xfId="557" builtinId="9" hidden="1"/>
    <cellStyle name="İzlenen Köprü" xfId="559" builtinId="9" hidden="1"/>
    <cellStyle name="İzlenen Köprü" xfId="561" builtinId="9" hidden="1"/>
    <cellStyle name="İzlenen Köprü" xfId="563" builtinId="9" hidden="1"/>
    <cellStyle name="İzlenen Köprü" xfId="565" builtinId="9" hidden="1"/>
    <cellStyle name="İzlenen Köprü" xfId="567" builtinId="9" hidden="1"/>
    <cellStyle name="İzlenen Köprü" xfId="569" builtinId="9" hidden="1"/>
    <cellStyle name="İzlenen Köprü" xfId="571" builtinId="9" hidden="1"/>
    <cellStyle name="İzlenen Köprü" xfId="573" builtinId="9" hidden="1"/>
    <cellStyle name="İzlenen Köprü" xfId="575" builtinId="9" hidden="1"/>
    <cellStyle name="İzlenen Köprü" xfId="577" builtinId="9" hidden="1"/>
    <cellStyle name="İzlenen Köprü" xfId="579" builtinId="9" hidden="1"/>
    <cellStyle name="İzlenen Köprü" xfId="581" builtinId="9" hidden="1"/>
    <cellStyle name="İzlenen Köprü" xfId="583" builtinId="9" hidden="1"/>
    <cellStyle name="İzlenen Köprü" xfId="585" builtinId="9" hidden="1"/>
    <cellStyle name="İzlenen Köprü" xfId="587" builtinId="9" hidden="1"/>
    <cellStyle name="İzlenen Köprü" xfId="589" builtinId="9" hidden="1"/>
    <cellStyle name="İzlenen Köprü" xfId="591" builtinId="9" hidden="1"/>
    <cellStyle name="İzlenen Köprü" xfId="593" builtinId="9" hidden="1"/>
    <cellStyle name="İzlenen Köprü" xfId="595" builtinId="9" hidden="1"/>
    <cellStyle name="İzlenen Köprü" xfId="597" builtinId="9" hidden="1"/>
    <cellStyle name="İzlenen Köprü" xfId="599" builtinId="9" hidden="1"/>
    <cellStyle name="İzlenen Köprü" xfId="601" builtinId="9" hidden="1"/>
    <cellStyle name="İzlenen Köprü" xfId="603" builtinId="9" hidden="1"/>
    <cellStyle name="İzlenen Köprü" xfId="605" builtinId="9" hidden="1"/>
    <cellStyle name="İzlenen Köprü" xfId="607" builtinId="9" hidden="1"/>
    <cellStyle name="İzlenen Köprü" xfId="609" builtinId="9" hidden="1"/>
    <cellStyle name="İzlenen Köprü" xfId="611" builtinId="9" hidden="1"/>
    <cellStyle name="İzlenen Köprü" xfId="613" builtinId="9" hidden="1"/>
    <cellStyle name="İzlenen Köprü" xfId="615" builtinId="9" hidden="1"/>
    <cellStyle name="İzlenen Köprü" xfId="617" builtinId="9" hidden="1"/>
    <cellStyle name="İzlenen Köprü" xfId="619" builtinId="9" hidden="1"/>
    <cellStyle name="İzlenen Köprü" xfId="621" builtinId="9" hidden="1"/>
    <cellStyle name="İzlenen Köprü" xfId="623" builtinId="9" hidden="1"/>
    <cellStyle name="İzlenen Köprü" xfId="625" builtinId="9" hidden="1"/>
    <cellStyle name="İzlenen Köprü" xfId="627" builtinId="9" hidden="1"/>
    <cellStyle name="İzlenen Köprü" xfId="629" builtinId="9" hidden="1"/>
    <cellStyle name="İzlenen Köprü" xfId="631" builtinId="9" hidden="1"/>
    <cellStyle name="İzlenen Köprü" xfId="633" builtinId="9" hidden="1"/>
    <cellStyle name="İzlenen Köprü" xfId="635" builtinId="9" hidden="1"/>
    <cellStyle name="İzlenen Köprü" xfId="637" builtinId="9" hidden="1"/>
    <cellStyle name="İzlenen Köprü" xfId="639" builtinId="9" hidden="1"/>
    <cellStyle name="İzlenen Köprü" xfId="641" builtinId="9" hidden="1"/>
    <cellStyle name="İzlenen Köprü" xfId="643" builtinId="9" hidden="1"/>
    <cellStyle name="İzlenen Köprü" xfId="645" builtinId="9" hidden="1"/>
    <cellStyle name="İzlenen Köprü" xfId="647" builtinId="9" hidden="1"/>
    <cellStyle name="İzlenen Köprü" xfId="649" builtinId="9" hidden="1"/>
    <cellStyle name="İzlenen Köprü" xfId="651" builtinId="9" hidden="1"/>
    <cellStyle name="İzlenen Köprü" xfId="653" builtinId="9" hidden="1"/>
    <cellStyle name="İzlenen Köprü" xfId="655" builtinId="9" hidden="1"/>
    <cellStyle name="İzlenen Köprü" xfId="657" builtinId="9" hidden="1"/>
    <cellStyle name="İzlenen Köprü" xfId="659" builtinId="9" hidden="1"/>
    <cellStyle name="İzlenen Köprü" xfId="661" builtinId="9" hidden="1"/>
    <cellStyle name="İzlenen Köprü" xfId="663" builtinId="9" hidden="1"/>
    <cellStyle name="İzlenen Köprü" xfId="665" builtinId="9" hidden="1"/>
    <cellStyle name="İzlenen Köprü" xfId="667" builtinId="9" hidden="1"/>
    <cellStyle name="İzlenen Köprü" xfId="669" builtinId="9" hidden="1"/>
    <cellStyle name="İzlenen Köprü" xfId="671" builtinId="9" hidden="1"/>
    <cellStyle name="İzlenen Köprü" xfId="673" builtinId="9" hidden="1"/>
    <cellStyle name="İzlenen Köprü" xfId="675" builtinId="9" hidden="1"/>
    <cellStyle name="İzlenen Köprü" xfId="677" builtinId="9" hidden="1"/>
    <cellStyle name="İzlenen Köprü" xfId="679" builtinId="9" hidden="1"/>
    <cellStyle name="İzlenen Köprü" xfId="681" builtinId="9" hidden="1"/>
    <cellStyle name="İzlenen Köprü" xfId="683" builtinId="9" hidden="1"/>
    <cellStyle name="İzlenen Köprü" xfId="685" builtinId="9" hidden="1"/>
    <cellStyle name="İzlenen Köprü" xfId="687" builtinId="9" hidden="1"/>
    <cellStyle name="İzlenen Köprü" xfId="689" builtinId="9" hidden="1"/>
    <cellStyle name="İzlenen Köprü" xfId="691" builtinId="9" hidden="1"/>
    <cellStyle name="İzlenen Köprü" xfId="693" builtinId="9" hidden="1"/>
    <cellStyle name="İzlenen Köprü" xfId="695" builtinId="9" hidden="1"/>
    <cellStyle name="İzlenen Köprü" xfId="697" builtinId="9" hidden="1"/>
    <cellStyle name="İzlenen Köprü" xfId="699" builtinId="9" hidden="1"/>
    <cellStyle name="İzlenen Köprü" xfId="701" builtinId="9" hidden="1"/>
    <cellStyle name="İzlenen Köprü" xfId="703" builtinId="9" hidden="1"/>
    <cellStyle name="İzlenen Köprü" xfId="705" builtinId="9" hidden="1"/>
    <cellStyle name="İzlenen Köprü" xfId="707" builtinId="9" hidden="1"/>
    <cellStyle name="İzlenen Köprü" xfId="709" builtinId="9" hidden="1"/>
    <cellStyle name="İzlenen Köprü" xfId="711" builtinId="9" hidden="1"/>
    <cellStyle name="İzlenen Köprü" xfId="713" builtinId="9" hidden="1"/>
    <cellStyle name="İzlenen Köprü" xfId="715" builtinId="9" hidden="1"/>
    <cellStyle name="İzlenen Köprü" xfId="717" builtinId="9" hidden="1"/>
    <cellStyle name="İzlenen Köprü" xfId="719" builtinId="9" hidden="1"/>
    <cellStyle name="İzlenen Köprü" xfId="721" builtinId="9" hidden="1"/>
    <cellStyle name="İzlenen Köprü" xfId="723" builtinId="9" hidden="1"/>
    <cellStyle name="İzlenen Köprü" xfId="725" builtinId="9" hidden="1"/>
    <cellStyle name="İzlenen Köprü" xfId="727" builtinId="9" hidden="1"/>
    <cellStyle name="İzlenen Köprü" xfId="729" builtinId="9" hidden="1"/>
    <cellStyle name="İzlenen Köprü" xfId="731" builtinId="9" hidden="1"/>
    <cellStyle name="İzlenen Köprü" xfId="733" builtinId="9" hidden="1"/>
    <cellStyle name="Köprü" xfId="2" builtinId="8" hidden="1"/>
    <cellStyle name="Köprü" xfId="4" builtinId="8" hidden="1"/>
    <cellStyle name="Köprü" xfId="6" builtinId="8" hidden="1"/>
    <cellStyle name="Köprü" xfId="8" builtinId="8" hidden="1"/>
    <cellStyle name="Köprü" xfId="10" builtinId="8" hidden="1"/>
    <cellStyle name="Köprü" xfId="12" builtinId="8" hidden="1"/>
    <cellStyle name="Köprü" xfId="14" builtinId="8" hidden="1"/>
    <cellStyle name="Köprü" xfId="16" builtinId="8" hidden="1"/>
    <cellStyle name="Köprü" xfId="18" builtinId="8" hidden="1"/>
    <cellStyle name="Köprü" xfId="20" builtinId="8" hidden="1"/>
    <cellStyle name="Köprü" xfId="22" builtinId="8" hidden="1"/>
    <cellStyle name="Köprü" xfId="24" builtinId="8" hidden="1"/>
    <cellStyle name="Köprü" xfId="26" builtinId="8" hidden="1"/>
    <cellStyle name="Köprü" xfId="28" builtinId="8" hidden="1"/>
    <cellStyle name="Köprü" xfId="30" builtinId="8" hidden="1"/>
    <cellStyle name="Köprü" xfId="32" builtinId="8" hidden="1"/>
    <cellStyle name="Köprü" xfId="34" builtinId="8" hidden="1"/>
    <cellStyle name="Köprü" xfId="36" builtinId="8" hidden="1"/>
    <cellStyle name="Köprü" xfId="38" builtinId="8" hidden="1"/>
    <cellStyle name="Köprü" xfId="40" builtinId="8" hidden="1"/>
    <cellStyle name="Köprü" xfId="42" builtinId="8" hidden="1"/>
    <cellStyle name="Köprü" xfId="44" builtinId="8" hidden="1"/>
    <cellStyle name="Köprü" xfId="46" builtinId="8" hidden="1"/>
    <cellStyle name="Köprü" xfId="48" builtinId="8" hidden="1"/>
    <cellStyle name="Köprü" xfId="50" builtinId="8" hidden="1"/>
    <cellStyle name="Köprü" xfId="52" builtinId="8" hidden="1"/>
    <cellStyle name="Köprü" xfId="54" builtinId="8" hidden="1"/>
    <cellStyle name="Köprü" xfId="56" builtinId="8" hidden="1"/>
    <cellStyle name="Köprü" xfId="58" builtinId="8" hidden="1"/>
    <cellStyle name="Köprü" xfId="60" builtinId="8" hidden="1"/>
    <cellStyle name="Köprü" xfId="62" builtinId="8" hidden="1"/>
    <cellStyle name="Köprü" xfId="64" builtinId="8" hidden="1"/>
    <cellStyle name="Köprü" xfId="66" builtinId="8" hidden="1"/>
    <cellStyle name="Köprü" xfId="68" builtinId="8" hidden="1"/>
    <cellStyle name="Köprü" xfId="70" builtinId="8" hidden="1"/>
    <cellStyle name="Köprü" xfId="72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Köprü" xfId="84" builtinId="8" hidden="1"/>
    <cellStyle name="Köprü" xfId="86" builtinId="8" hidden="1"/>
    <cellStyle name="Köprü" xfId="88" builtinId="8" hidden="1"/>
    <cellStyle name="Köprü" xfId="90" builtinId="8" hidden="1"/>
    <cellStyle name="Köprü" xfId="92" builtinId="8" hidden="1"/>
    <cellStyle name="Köprü" xfId="94" builtinId="8" hidden="1"/>
    <cellStyle name="Köprü" xfId="96" builtinId="8" hidden="1"/>
    <cellStyle name="Köprü" xfId="98" builtinId="8" hidden="1"/>
    <cellStyle name="Köprü" xfId="100" builtinId="8" hidden="1"/>
    <cellStyle name="Köprü" xfId="102" builtinId="8" hidden="1"/>
    <cellStyle name="Köprü" xfId="104" builtinId="8" hidden="1"/>
    <cellStyle name="Köprü" xfId="106" builtinId="8" hidden="1"/>
    <cellStyle name="Köprü" xfId="108" builtinId="8" hidden="1"/>
    <cellStyle name="Köprü" xfId="110" builtinId="8" hidden="1"/>
    <cellStyle name="Köprü" xfId="112" builtinId="8" hidden="1"/>
    <cellStyle name="Köprü" xfId="114" builtinId="8" hidden="1"/>
    <cellStyle name="Köprü" xfId="116" builtinId="8" hidden="1"/>
    <cellStyle name="Köprü" xfId="118" builtinId="8" hidden="1"/>
    <cellStyle name="Köprü" xfId="120" builtinId="8" hidden="1"/>
    <cellStyle name="Köprü" xfId="122" builtinId="8" hidden="1"/>
    <cellStyle name="Köprü" xfId="124" builtinId="8" hidden="1"/>
    <cellStyle name="Köprü" xfId="126" builtinId="8" hidden="1"/>
    <cellStyle name="Köprü" xfId="128" builtinId="8" hidden="1"/>
    <cellStyle name="Köprü" xfId="130" builtinId="8" hidden="1"/>
    <cellStyle name="Köprü" xfId="132" builtinId="8" hidden="1"/>
    <cellStyle name="Köprü" xfId="134" builtinId="8" hidden="1"/>
    <cellStyle name="Köprü" xfId="136" builtinId="8" hidden="1"/>
    <cellStyle name="Köprü" xfId="138" builtinId="8" hidden="1"/>
    <cellStyle name="Köprü" xfId="140" builtinId="8" hidden="1"/>
    <cellStyle name="Köprü" xfId="142" builtinId="8" hidden="1"/>
    <cellStyle name="Köprü" xfId="144" builtinId="8" hidden="1"/>
    <cellStyle name="Köprü" xfId="146" builtinId="8" hidden="1"/>
    <cellStyle name="Köprü" xfId="148" builtinId="8" hidden="1"/>
    <cellStyle name="Köprü" xfId="150" builtinId="8" hidden="1"/>
    <cellStyle name="Köprü" xfId="152" builtinId="8" hidden="1"/>
    <cellStyle name="Köprü" xfId="154" builtinId="8" hidden="1"/>
    <cellStyle name="Köprü" xfId="156" builtinId="8" hidden="1"/>
    <cellStyle name="Köprü" xfId="158" builtinId="8" hidden="1"/>
    <cellStyle name="Köprü" xfId="160" builtinId="8" hidden="1"/>
    <cellStyle name="Köprü" xfId="162" builtinId="8" hidden="1"/>
    <cellStyle name="Köprü" xfId="164" builtinId="8" hidden="1"/>
    <cellStyle name="Köprü" xfId="166" builtinId="8" hidden="1"/>
    <cellStyle name="Köprü" xfId="168" builtinId="8" hidden="1"/>
    <cellStyle name="Köprü" xfId="170" builtinId="8" hidden="1"/>
    <cellStyle name="Köprü" xfId="172" builtinId="8" hidden="1"/>
    <cellStyle name="Köprü" xfId="174" builtinId="8" hidden="1"/>
    <cellStyle name="Köprü" xfId="176" builtinId="8" hidden="1"/>
    <cellStyle name="Köprü" xfId="178" builtinId="8" hidden="1"/>
    <cellStyle name="Köprü" xfId="180" builtinId="8" hidden="1"/>
    <cellStyle name="Köprü" xfId="182" builtinId="8" hidden="1"/>
    <cellStyle name="Köprü" xfId="184" builtinId="8" hidden="1"/>
    <cellStyle name="Köprü" xfId="186" builtinId="8" hidden="1"/>
    <cellStyle name="Köprü" xfId="188" builtinId="8" hidden="1"/>
    <cellStyle name="Köprü" xfId="190" builtinId="8" hidden="1"/>
    <cellStyle name="Köprü" xfId="192" builtinId="8" hidden="1"/>
    <cellStyle name="Köprü" xfId="194" builtinId="8" hidden="1"/>
    <cellStyle name="Köprü" xfId="196" builtinId="8" hidden="1"/>
    <cellStyle name="Köprü" xfId="198" builtinId="8" hidden="1"/>
    <cellStyle name="Köprü" xfId="200" builtinId="8" hidden="1"/>
    <cellStyle name="Köprü" xfId="202" builtinId="8" hidden="1"/>
    <cellStyle name="Köprü" xfId="204" builtinId="8" hidden="1"/>
    <cellStyle name="Köprü" xfId="206" builtinId="8" hidden="1"/>
    <cellStyle name="Köprü" xfId="208" builtinId="8" hidden="1"/>
    <cellStyle name="Köprü" xfId="210" builtinId="8" hidden="1"/>
    <cellStyle name="Köprü" xfId="212" builtinId="8" hidden="1"/>
    <cellStyle name="Köprü" xfId="214" builtinId="8" hidden="1"/>
    <cellStyle name="Köprü" xfId="216" builtinId="8" hidden="1"/>
    <cellStyle name="Köprü" xfId="218" builtinId="8" hidden="1"/>
    <cellStyle name="Köprü" xfId="220" builtinId="8" hidden="1"/>
    <cellStyle name="Köprü" xfId="222" builtinId="8" hidden="1"/>
    <cellStyle name="Köprü" xfId="224" builtinId="8" hidden="1"/>
    <cellStyle name="Köprü" xfId="226" builtinId="8" hidden="1"/>
    <cellStyle name="Köprü" xfId="228" builtinId="8" hidden="1"/>
    <cellStyle name="Köprü" xfId="230" builtinId="8" hidden="1"/>
    <cellStyle name="Köprü" xfId="232" builtinId="8" hidden="1"/>
    <cellStyle name="Köprü" xfId="234" builtinId="8" hidden="1"/>
    <cellStyle name="Köprü" xfId="236" builtinId="8" hidden="1"/>
    <cellStyle name="Köprü" xfId="238" builtinId="8" hidden="1"/>
    <cellStyle name="Köprü" xfId="240" builtinId="8" hidden="1"/>
    <cellStyle name="Köprü" xfId="242" builtinId="8" hidden="1"/>
    <cellStyle name="Köprü" xfId="244" builtinId="8" hidden="1"/>
    <cellStyle name="Köprü" xfId="246" builtinId="8" hidden="1"/>
    <cellStyle name="Köprü" xfId="248" builtinId="8" hidden="1"/>
    <cellStyle name="Köprü" xfId="250" builtinId="8" hidden="1"/>
    <cellStyle name="Köprü" xfId="252" builtinId="8" hidden="1"/>
    <cellStyle name="Köprü" xfId="254" builtinId="8" hidden="1"/>
    <cellStyle name="Köprü" xfId="256" builtinId="8" hidden="1"/>
    <cellStyle name="Köprü" xfId="258" builtinId="8" hidden="1"/>
    <cellStyle name="Köprü" xfId="260" builtinId="8" hidden="1"/>
    <cellStyle name="Köprü" xfId="262" builtinId="8" hidden="1"/>
    <cellStyle name="Köprü" xfId="264" builtinId="8" hidden="1"/>
    <cellStyle name="Köprü" xfId="266" builtinId="8" hidden="1"/>
    <cellStyle name="Köprü" xfId="268" builtinId="8" hidden="1"/>
    <cellStyle name="Köprü" xfId="270" builtinId="8" hidden="1"/>
    <cellStyle name="Köprü" xfId="272" builtinId="8" hidden="1"/>
    <cellStyle name="Köprü" xfId="274" builtinId="8" hidden="1"/>
    <cellStyle name="Köprü" xfId="276" builtinId="8" hidden="1"/>
    <cellStyle name="Köprü" xfId="278" builtinId="8" hidden="1"/>
    <cellStyle name="Köprü" xfId="280" builtinId="8" hidden="1"/>
    <cellStyle name="Köprü" xfId="282" builtinId="8" hidden="1"/>
    <cellStyle name="Köprü" xfId="284" builtinId="8" hidden="1"/>
    <cellStyle name="Köprü" xfId="286" builtinId="8" hidden="1"/>
    <cellStyle name="Köprü" xfId="288" builtinId="8" hidden="1"/>
    <cellStyle name="Köprü" xfId="290" builtinId="8" hidden="1"/>
    <cellStyle name="Köprü" xfId="292" builtinId="8" hidden="1"/>
    <cellStyle name="Köprü" xfId="294" builtinId="8" hidden="1"/>
    <cellStyle name="Köprü" xfId="296" builtinId="8" hidden="1"/>
    <cellStyle name="Köprü" xfId="298" builtinId="8" hidden="1"/>
    <cellStyle name="Köprü" xfId="300" builtinId="8" hidden="1"/>
    <cellStyle name="Köprü" xfId="302" builtinId="8" hidden="1"/>
    <cellStyle name="Köprü" xfId="304" builtinId="8" hidden="1"/>
    <cellStyle name="Köprü" xfId="306" builtinId="8" hidden="1"/>
    <cellStyle name="Köprü" xfId="308" builtinId="8" hidden="1"/>
    <cellStyle name="Köprü" xfId="310" builtinId="8" hidden="1"/>
    <cellStyle name="Köprü" xfId="312" builtinId="8" hidden="1"/>
    <cellStyle name="Köprü" xfId="314" builtinId="8" hidden="1"/>
    <cellStyle name="Köprü" xfId="316" builtinId="8" hidden="1"/>
    <cellStyle name="Köprü" xfId="318" builtinId="8" hidden="1"/>
    <cellStyle name="Köprü" xfId="320" builtinId="8" hidden="1"/>
    <cellStyle name="Köprü" xfId="322" builtinId="8" hidden="1"/>
    <cellStyle name="Köprü" xfId="324" builtinId="8" hidden="1"/>
    <cellStyle name="Köprü" xfId="326" builtinId="8" hidden="1"/>
    <cellStyle name="Köprü" xfId="328" builtinId="8" hidden="1"/>
    <cellStyle name="Köprü" xfId="330" builtinId="8" hidden="1"/>
    <cellStyle name="Köprü" xfId="332" builtinId="8" hidden="1"/>
    <cellStyle name="Köprü" xfId="334" builtinId="8" hidden="1"/>
    <cellStyle name="Köprü" xfId="336" builtinId="8" hidden="1"/>
    <cellStyle name="Köprü" xfId="338" builtinId="8" hidden="1"/>
    <cellStyle name="Köprü" xfId="340" builtinId="8" hidden="1"/>
    <cellStyle name="Köprü" xfId="342" builtinId="8" hidden="1"/>
    <cellStyle name="Köprü" xfId="344" builtinId="8" hidden="1"/>
    <cellStyle name="Köprü" xfId="346" builtinId="8" hidden="1"/>
    <cellStyle name="Köprü" xfId="348" builtinId="8" hidden="1"/>
    <cellStyle name="Köprü" xfId="350" builtinId="8" hidden="1"/>
    <cellStyle name="Köprü" xfId="352" builtinId="8" hidden="1"/>
    <cellStyle name="Köprü" xfId="354" builtinId="8" hidden="1"/>
    <cellStyle name="Köprü" xfId="356" builtinId="8" hidden="1"/>
    <cellStyle name="Köprü" xfId="358" builtinId="8" hidden="1"/>
    <cellStyle name="Köprü" xfId="360" builtinId="8" hidden="1"/>
    <cellStyle name="Köprü" xfId="362" builtinId="8" hidden="1"/>
    <cellStyle name="Köprü" xfId="364" builtinId="8" hidden="1"/>
    <cellStyle name="Köprü" xfId="366" builtinId="8" hidden="1"/>
    <cellStyle name="Köprü" xfId="368" builtinId="8" hidden="1"/>
    <cellStyle name="Köprü" xfId="370" builtinId="8" hidden="1"/>
    <cellStyle name="Köprü" xfId="372" builtinId="8" hidden="1"/>
    <cellStyle name="Köprü" xfId="374" builtinId="8" hidden="1"/>
    <cellStyle name="Köprü" xfId="376" builtinId="8" hidden="1"/>
    <cellStyle name="Köprü" xfId="378" builtinId="8" hidden="1"/>
    <cellStyle name="Köprü" xfId="380" builtinId="8" hidden="1"/>
    <cellStyle name="Köprü" xfId="382" builtinId="8" hidden="1"/>
    <cellStyle name="Köprü" xfId="384" builtinId="8" hidden="1"/>
    <cellStyle name="Köprü" xfId="386" builtinId="8" hidden="1"/>
    <cellStyle name="Köprü" xfId="388" builtinId="8" hidden="1"/>
    <cellStyle name="Köprü" xfId="390" builtinId="8" hidden="1"/>
    <cellStyle name="Köprü" xfId="392" builtinId="8" hidden="1"/>
    <cellStyle name="Köprü" xfId="394" builtinId="8" hidden="1"/>
    <cellStyle name="Köprü" xfId="396" builtinId="8" hidden="1"/>
    <cellStyle name="Köprü" xfId="398" builtinId="8" hidden="1"/>
    <cellStyle name="Köprü" xfId="400" builtinId="8" hidden="1"/>
    <cellStyle name="Köprü" xfId="402" builtinId="8" hidden="1"/>
    <cellStyle name="Köprü" xfId="404" builtinId="8" hidden="1"/>
    <cellStyle name="Köprü" xfId="406" builtinId="8" hidden="1"/>
    <cellStyle name="Köprü" xfId="408" builtinId="8" hidden="1"/>
    <cellStyle name="Köprü" xfId="410" builtinId="8" hidden="1"/>
    <cellStyle name="Köprü" xfId="412" builtinId="8" hidden="1"/>
    <cellStyle name="Köprü" xfId="414" builtinId="8" hidden="1"/>
    <cellStyle name="Köprü" xfId="416" builtinId="8" hidden="1"/>
    <cellStyle name="Köprü" xfId="418" builtinId="8" hidden="1"/>
    <cellStyle name="Köprü" xfId="420" builtinId="8" hidden="1"/>
    <cellStyle name="Köprü" xfId="422" builtinId="8" hidden="1"/>
    <cellStyle name="Köprü" xfId="424" builtinId="8" hidden="1"/>
    <cellStyle name="Köprü" xfId="426" builtinId="8" hidden="1"/>
    <cellStyle name="Köprü" xfId="428" builtinId="8" hidden="1"/>
    <cellStyle name="Köprü" xfId="430" builtinId="8" hidden="1"/>
    <cellStyle name="Köprü" xfId="432" builtinId="8" hidden="1"/>
    <cellStyle name="Köprü" xfId="434" builtinId="8" hidden="1"/>
    <cellStyle name="Köprü" xfId="436" builtinId="8" hidden="1"/>
    <cellStyle name="Köprü" xfId="438" builtinId="8" hidden="1"/>
    <cellStyle name="Köprü" xfId="440" builtinId="8" hidden="1"/>
    <cellStyle name="Köprü" xfId="442" builtinId="8" hidden="1"/>
    <cellStyle name="Köprü" xfId="444" builtinId="8" hidden="1"/>
    <cellStyle name="Köprü" xfId="446" builtinId="8" hidden="1"/>
    <cellStyle name="Köprü" xfId="448" builtinId="8" hidden="1"/>
    <cellStyle name="Köprü" xfId="450" builtinId="8" hidden="1"/>
    <cellStyle name="Köprü" xfId="452" builtinId="8" hidden="1"/>
    <cellStyle name="Köprü" xfId="454" builtinId="8" hidden="1"/>
    <cellStyle name="Köprü" xfId="456" builtinId="8" hidden="1"/>
    <cellStyle name="Köprü" xfId="458" builtinId="8" hidden="1"/>
    <cellStyle name="Köprü" xfId="460" builtinId="8" hidden="1"/>
    <cellStyle name="Köprü" xfId="462" builtinId="8" hidden="1"/>
    <cellStyle name="Köprü" xfId="464" builtinId="8" hidden="1"/>
    <cellStyle name="Köprü" xfId="466" builtinId="8" hidden="1"/>
    <cellStyle name="Köprü" xfId="468" builtinId="8" hidden="1"/>
    <cellStyle name="Köprü" xfId="470" builtinId="8" hidden="1"/>
    <cellStyle name="Köprü" xfId="472" builtinId="8" hidden="1"/>
    <cellStyle name="Köprü" xfId="474" builtinId="8" hidden="1"/>
    <cellStyle name="Köprü" xfId="476" builtinId="8" hidden="1"/>
    <cellStyle name="Köprü" xfId="478" builtinId="8" hidden="1"/>
    <cellStyle name="Köprü" xfId="480" builtinId="8" hidden="1"/>
    <cellStyle name="Köprü" xfId="482" builtinId="8" hidden="1"/>
    <cellStyle name="Köprü" xfId="484" builtinId="8" hidden="1"/>
    <cellStyle name="Köprü" xfId="486" builtinId="8" hidden="1"/>
    <cellStyle name="Köprü" xfId="488" builtinId="8" hidden="1"/>
    <cellStyle name="Köprü" xfId="490" builtinId="8" hidden="1"/>
    <cellStyle name="Köprü" xfId="492" builtinId="8" hidden="1"/>
    <cellStyle name="Köprü" xfId="494" builtinId="8" hidden="1"/>
    <cellStyle name="Köprü" xfId="496" builtinId="8" hidden="1"/>
    <cellStyle name="Köprü" xfId="498" builtinId="8" hidden="1"/>
    <cellStyle name="Köprü" xfId="500" builtinId="8" hidden="1"/>
    <cellStyle name="Köprü" xfId="502" builtinId="8" hidden="1"/>
    <cellStyle name="Köprü" xfId="504" builtinId="8" hidden="1"/>
    <cellStyle name="Köprü" xfId="506" builtinId="8" hidden="1"/>
    <cellStyle name="Köprü" xfId="508" builtinId="8" hidden="1"/>
    <cellStyle name="Köprü" xfId="510" builtinId="8" hidden="1"/>
    <cellStyle name="Köprü" xfId="512" builtinId="8" hidden="1"/>
    <cellStyle name="Köprü" xfId="514" builtinId="8" hidden="1"/>
    <cellStyle name="Köprü" xfId="516" builtinId="8" hidden="1"/>
    <cellStyle name="Köprü" xfId="518" builtinId="8" hidden="1"/>
    <cellStyle name="Köprü" xfId="520" builtinId="8" hidden="1"/>
    <cellStyle name="Köprü" xfId="522" builtinId="8" hidden="1"/>
    <cellStyle name="Köprü" xfId="524" builtinId="8" hidden="1"/>
    <cellStyle name="Köprü" xfId="526" builtinId="8" hidden="1"/>
    <cellStyle name="Köprü" xfId="528" builtinId="8" hidden="1"/>
    <cellStyle name="Köprü" xfId="530" builtinId="8" hidden="1"/>
    <cellStyle name="Köprü" xfId="532" builtinId="8" hidden="1"/>
    <cellStyle name="Köprü" xfId="534" builtinId="8" hidden="1"/>
    <cellStyle name="Köprü" xfId="536" builtinId="8" hidden="1"/>
    <cellStyle name="Köprü" xfId="538" builtinId="8" hidden="1"/>
    <cellStyle name="Köprü" xfId="540" builtinId="8" hidden="1"/>
    <cellStyle name="Köprü" xfId="542" builtinId="8" hidden="1"/>
    <cellStyle name="Köprü" xfId="544" builtinId="8" hidden="1"/>
    <cellStyle name="Köprü" xfId="546" builtinId="8" hidden="1"/>
    <cellStyle name="Köprü" xfId="548" builtinId="8" hidden="1"/>
    <cellStyle name="Köprü" xfId="550" builtinId="8" hidden="1"/>
    <cellStyle name="Köprü" xfId="552" builtinId="8" hidden="1"/>
    <cellStyle name="Köprü" xfId="554" builtinId="8" hidden="1"/>
    <cellStyle name="Köprü" xfId="556" builtinId="8" hidden="1"/>
    <cellStyle name="Köprü" xfId="558" builtinId="8" hidden="1"/>
    <cellStyle name="Köprü" xfId="560" builtinId="8" hidden="1"/>
    <cellStyle name="Köprü" xfId="562" builtinId="8" hidden="1"/>
    <cellStyle name="Köprü" xfId="564" builtinId="8" hidden="1"/>
    <cellStyle name="Köprü" xfId="566" builtinId="8" hidden="1"/>
    <cellStyle name="Köprü" xfId="568" builtinId="8" hidden="1"/>
    <cellStyle name="Köprü" xfId="570" builtinId="8" hidden="1"/>
    <cellStyle name="Köprü" xfId="572" builtinId="8" hidden="1"/>
    <cellStyle name="Köprü" xfId="574" builtinId="8" hidden="1"/>
    <cellStyle name="Köprü" xfId="576" builtinId="8" hidden="1"/>
    <cellStyle name="Köprü" xfId="578" builtinId="8" hidden="1"/>
    <cellStyle name="Köprü" xfId="580" builtinId="8" hidden="1"/>
    <cellStyle name="Köprü" xfId="582" builtinId="8" hidden="1"/>
    <cellStyle name="Köprü" xfId="584" builtinId="8" hidden="1"/>
    <cellStyle name="Köprü" xfId="586" builtinId="8" hidden="1"/>
    <cellStyle name="Köprü" xfId="588" builtinId="8" hidden="1"/>
    <cellStyle name="Köprü" xfId="590" builtinId="8" hidden="1"/>
    <cellStyle name="Köprü" xfId="592" builtinId="8" hidden="1"/>
    <cellStyle name="Köprü" xfId="594" builtinId="8" hidden="1"/>
    <cellStyle name="Köprü" xfId="596" builtinId="8" hidden="1"/>
    <cellStyle name="Köprü" xfId="598" builtinId="8" hidden="1"/>
    <cellStyle name="Köprü" xfId="600" builtinId="8" hidden="1"/>
    <cellStyle name="Köprü" xfId="602" builtinId="8" hidden="1"/>
    <cellStyle name="Köprü" xfId="604" builtinId="8" hidden="1"/>
    <cellStyle name="Köprü" xfId="606" builtinId="8" hidden="1"/>
    <cellStyle name="Köprü" xfId="608" builtinId="8" hidden="1"/>
    <cellStyle name="Köprü" xfId="610" builtinId="8" hidden="1"/>
    <cellStyle name="Köprü" xfId="612" builtinId="8" hidden="1"/>
    <cellStyle name="Köprü" xfId="614" builtinId="8" hidden="1"/>
    <cellStyle name="Köprü" xfId="616" builtinId="8" hidden="1"/>
    <cellStyle name="Köprü" xfId="618" builtinId="8" hidden="1"/>
    <cellStyle name="Köprü" xfId="620" builtinId="8" hidden="1"/>
    <cellStyle name="Köprü" xfId="622" builtinId="8" hidden="1"/>
    <cellStyle name="Köprü" xfId="624" builtinId="8" hidden="1"/>
    <cellStyle name="Köprü" xfId="626" builtinId="8" hidden="1"/>
    <cellStyle name="Köprü" xfId="628" builtinId="8" hidden="1"/>
    <cellStyle name="Köprü" xfId="630" builtinId="8" hidden="1"/>
    <cellStyle name="Köprü" xfId="632" builtinId="8" hidden="1"/>
    <cellStyle name="Köprü" xfId="634" builtinId="8" hidden="1"/>
    <cellStyle name="Köprü" xfId="636" builtinId="8" hidden="1"/>
    <cellStyle name="Köprü" xfId="638" builtinId="8" hidden="1"/>
    <cellStyle name="Köprü" xfId="640" builtinId="8" hidden="1"/>
    <cellStyle name="Köprü" xfId="642" builtinId="8" hidden="1"/>
    <cellStyle name="Köprü" xfId="644" builtinId="8" hidden="1"/>
    <cellStyle name="Köprü" xfId="646" builtinId="8" hidden="1"/>
    <cellStyle name="Köprü" xfId="648" builtinId="8" hidden="1"/>
    <cellStyle name="Köprü" xfId="650" builtinId="8" hidden="1"/>
    <cellStyle name="Köprü" xfId="652" builtinId="8" hidden="1"/>
    <cellStyle name="Köprü" xfId="654" builtinId="8" hidden="1"/>
    <cellStyle name="Köprü" xfId="656" builtinId="8" hidden="1"/>
    <cellStyle name="Köprü" xfId="658" builtinId="8" hidden="1"/>
    <cellStyle name="Köprü" xfId="660" builtinId="8" hidden="1"/>
    <cellStyle name="Köprü" xfId="662" builtinId="8" hidden="1"/>
    <cellStyle name="Köprü" xfId="664" builtinId="8" hidden="1"/>
    <cellStyle name="Köprü" xfId="666" builtinId="8" hidden="1"/>
    <cellStyle name="Köprü" xfId="668" builtinId="8" hidden="1"/>
    <cellStyle name="Köprü" xfId="670" builtinId="8" hidden="1"/>
    <cellStyle name="Köprü" xfId="672" builtinId="8" hidden="1"/>
    <cellStyle name="Köprü" xfId="674" builtinId="8" hidden="1"/>
    <cellStyle name="Köprü" xfId="676" builtinId="8" hidden="1"/>
    <cellStyle name="Köprü" xfId="678" builtinId="8" hidden="1"/>
    <cellStyle name="Köprü" xfId="680" builtinId="8" hidden="1"/>
    <cellStyle name="Köprü" xfId="682" builtinId="8" hidden="1"/>
    <cellStyle name="Köprü" xfId="684" builtinId="8" hidden="1"/>
    <cellStyle name="Köprü" xfId="686" builtinId="8" hidden="1"/>
    <cellStyle name="Köprü" xfId="688" builtinId="8" hidden="1"/>
    <cellStyle name="Köprü" xfId="690" builtinId="8" hidden="1"/>
    <cellStyle name="Köprü" xfId="692" builtinId="8" hidden="1"/>
    <cellStyle name="Köprü" xfId="694" builtinId="8" hidden="1"/>
    <cellStyle name="Köprü" xfId="696" builtinId="8" hidden="1"/>
    <cellStyle name="Köprü" xfId="698" builtinId="8" hidden="1"/>
    <cellStyle name="Köprü" xfId="700" builtinId="8" hidden="1"/>
    <cellStyle name="Köprü" xfId="702" builtinId="8" hidden="1"/>
    <cellStyle name="Köprü" xfId="704" builtinId="8" hidden="1"/>
    <cellStyle name="Köprü" xfId="706" builtinId="8" hidden="1"/>
    <cellStyle name="Köprü" xfId="708" builtinId="8" hidden="1"/>
    <cellStyle name="Köprü" xfId="710" builtinId="8" hidden="1"/>
    <cellStyle name="Köprü" xfId="712" builtinId="8" hidden="1"/>
    <cellStyle name="Köprü" xfId="714" builtinId="8" hidden="1"/>
    <cellStyle name="Köprü" xfId="716" builtinId="8" hidden="1"/>
    <cellStyle name="Köprü" xfId="718" builtinId="8" hidden="1"/>
    <cellStyle name="Köprü" xfId="720" builtinId="8" hidden="1"/>
    <cellStyle name="Köprü" xfId="722" builtinId="8" hidden="1"/>
    <cellStyle name="Köprü" xfId="724" builtinId="8" hidden="1"/>
    <cellStyle name="Köprü" xfId="726" builtinId="8" hidden="1"/>
    <cellStyle name="Köprü" xfId="728" builtinId="8" hidden="1"/>
    <cellStyle name="Köprü" xfId="730" builtinId="8" hidden="1"/>
    <cellStyle name="Köprü" xfId="732" builtinId="8" hidden="1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2"/>
  <sheetViews>
    <sheetView topLeftCell="A773" zoomScale="75" zoomScaleNormal="75" zoomScalePageLayoutView="110" workbookViewId="0">
      <selection activeCell="B790" sqref="B790:R790"/>
    </sheetView>
  </sheetViews>
  <sheetFormatPr defaultColWidth="11" defaultRowHeight="18.75"/>
  <cols>
    <col min="1" max="1" width="17.875" style="3" customWidth="1"/>
    <col min="2" max="18" width="13" style="3" bestFit="1" customWidth="1"/>
  </cols>
  <sheetData>
    <row r="1" spans="1:18">
      <c r="A1" s="1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24</v>
      </c>
      <c r="Q1" s="2" t="s">
        <v>25</v>
      </c>
      <c r="R1" s="2" t="s">
        <v>26</v>
      </c>
    </row>
    <row r="2" spans="1:18">
      <c r="B2" s="2">
        <v>2010</v>
      </c>
      <c r="C2" s="2">
        <v>2010</v>
      </c>
      <c r="D2" s="2">
        <v>2010</v>
      </c>
      <c r="E2" s="2">
        <v>2010</v>
      </c>
      <c r="F2" s="2">
        <v>2010</v>
      </c>
      <c r="G2" s="2">
        <v>2010</v>
      </c>
      <c r="H2" s="2">
        <v>2010</v>
      </c>
      <c r="I2" s="2">
        <v>2010</v>
      </c>
      <c r="J2" s="2">
        <v>2010</v>
      </c>
      <c r="K2" s="2">
        <v>2010</v>
      </c>
      <c r="L2" s="2">
        <v>2010</v>
      </c>
      <c r="M2" s="2">
        <v>2010</v>
      </c>
      <c r="N2" s="2">
        <v>2010</v>
      </c>
      <c r="O2" s="2">
        <v>2010</v>
      </c>
      <c r="P2" s="2">
        <v>2010</v>
      </c>
      <c r="Q2" s="2">
        <v>2010</v>
      </c>
      <c r="R2" s="2">
        <v>2010</v>
      </c>
    </row>
    <row r="3" spans="1:18">
      <c r="A3" s="1" t="s">
        <v>0</v>
      </c>
      <c r="B3" s="3">
        <v>11258.738791249199</v>
      </c>
      <c r="C3" s="3">
        <v>11505.796438767578</v>
      </c>
      <c r="D3" s="3">
        <v>14443.377127572927</v>
      </c>
      <c r="E3" s="3">
        <v>6819.319174127816</v>
      </c>
      <c r="F3" s="3">
        <v>8449.5864476376391</v>
      </c>
      <c r="G3" s="3">
        <v>10455.740312793836</v>
      </c>
      <c r="H3" s="3">
        <v>3121.6156180858948</v>
      </c>
      <c r="I3" s="3">
        <v>3873.1338744886511</v>
      </c>
      <c r="J3" s="3">
        <v>13801.360687569124</v>
      </c>
      <c r="K3" s="3">
        <v>12412.478496545165</v>
      </c>
      <c r="L3" s="3">
        <v>8502.6081349764954</v>
      </c>
      <c r="M3" s="3">
        <v>3553.5022425743146</v>
      </c>
      <c r="N3" s="3">
        <v>7987.1775382791375</v>
      </c>
      <c r="O3" s="3">
        <v>8494.5927831420104</v>
      </c>
      <c r="P3" s="3">
        <v>12671.11385814248</v>
      </c>
      <c r="Q3" s="3">
        <v>12569.083152517422</v>
      </c>
      <c r="R3" s="3">
        <v>10893.968193073119</v>
      </c>
    </row>
    <row r="4" spans="1:18">
      <c r="A4" s="1" t="s">
        <v>1</v>
      </c>
      <c r="B4" s="2">
        <v>27871</v>
      </c>
      <c r="C4" s="2">
        <v>18197</v>
      </c>
      <c r="D4" s="2">
        <v>32102</v>
      </c>
      <c r="E4" s="2">
        <v>13045</v>
      </c>
      <c r="F4" s="2">
        <v>17616</v>
      </c>
      <c r="G4" s="2">
        <v>18116</v>
      </c>
      <c r="H4" s="2">
        <v>8496</v>
      </c>
      <c r="I4" s="2">
        <v>10474</v>
      </c>
      <c r="J4" s="2">
        <v>25175</v>
      </c>
      <c r="K4" s="2">
        <v>19892</v>
      </c>
      <c r="L4" s="2">
        <v>15031</v>
      </c>
      <c r="M4" s="2">
        <v>8408</v>
      </c>
      <c r="N4" s="2">
        <v>15883</v>
      </c>
      <c r="O4" s="2">
        <v>17339</v>
      </c>
      <c r="P4" s="2">
        <v>27671</v>
      </c>
      <c r="Q4" s="2">
        <v>23775</v>
      </c>
      <c r="R4" s="2">
        <v>27814</v>
      </c>
    </row>
    <row r="5" spans="1:18">
      <c r="A5" s="1" t="s">
        <v>2</v>
      </c>
      <c r="B5" s="2">
        <v>25.308516721494506</v>
      </c>
      <c r="C5" s="2">
        <v>20.9927684865802</v>
      </c>
      <c r="D5" s="2">
        <v>29.701572167371619</v>
      </c>
      <c r="E5" s="2">
        <v>52.13465261879572</v>
      </c>
      <c r="F5" s="2">
        <v>19.969949259490168</v>
      </c>
      <c r="G5" s="2">
        <v>17.821490885573336</v>
      </c>
      <c r="H5" s="2">
        <v>31.673737916872195</v>
      </c>
      <c r="I5" s="2">
        <v>34.253194300537189</v>
      </c>
      <c r="J5" s="2">
        <v>40.307937290574472</v>
      </c>
      <c r="K5" s="2">
        <v>22.798991771682037</v>
      </c>
      <c r="L5" s="2">
        <v>27.989704660475095</v>
      </c>
      <c r="M5" s="2">
        <v>18.727818898067476</v>
      </c>
      <c r="N5" s="2">
        <v>33.365064061995753</v>
      </c>
      <c r="O5" s="2">
        <v>21.064043485264346</v>
      </c>
      <c r="P5" s="2">
        <v>13.972789519704271</v>
      </c>
      <c r="Q5" s="2">
        <v>19.387953141741789</v>
      </c>
      <c r="R5" s="2">
        <v>32.895578426869413</v>
      </c>
    </row>
    <row r="6" spans="1:18">
      <c r="A6" s="1" t="s">
        <v>3</v>
      </c>
      <c r="B6" s="2">
        <v>40.106668347472798</v>
      </c>
      <c r="C6" s="2">
        <v>116.71515562418892</v>
      </c>
      <c r="D6" s="2">
        <v>69.970757146077574</v>
      </c>
      <c r="E6" s="2">
        <v>57.313057391943666</v>
      </c>
      <c r="F6" s="2">
        <v>33.918348055253638</v>
      </c>
      <c r="G6" s="2">
        <v>78.390474682080097</v>
      </c>
      <c r="H6" s="2">
        <v>49.692813374587978</v>
      </c>
      <c r="I6" s="2">
        <v>47.563165054109803</v>
      </c>
      <c r="J6" s="2">
        <v>170.33226335543728</v>
      </c>
      <c r="K6" s="2">
        <v>61.856065050499289</v>
      </c>
      <c r="L6" s="2">
        <v>48.272815406165044</v>
      </c>
      <c r="M6" s="2">
        <v>71.419491269774255</v>
      </c>
      <c r="N6" s="2">
        <v>135.14154283386119</v>
      </c>
      <c r="O6" s="2">
        <v>102.83074289432209</v>
      </c>
      <c r="P6" s="2">
        <v>47.968919990004423</v>
      </c>
      <c r="Q6" s="2">
        <v>52.866606315358148</v>
      </c>
      <c r="R6" s="2">
        <v>46.13689352402028</v>
      </c>
    </row>
    <row r="7" spans="1:18">
      <c r="A7" s="4" t="s">
        <v>7</v>
      </c>
      <c r="B7" s="5">
        <v>75.632146341463425</v>
      </c>
      <c r="C7" s="5">
        <v>73.512195121951223</v>
      </c>
      <c r="D7" s="5">
        <v>78.885731707317092</v>
      </c>
      <c r="E7" s="5">
        <v>73.273097560975629</v>
      </c>
      <c r="F7" s="5">
        <v>73.429682926829273</v>
      </c>
      <c r="G7" s="5">
        <v>79.192609756097568</v>
      </c>
      <c r="H7" s="5">
        <v>65.131341463414643</v>
      </c>
      <c r="I7" s="5">
        <v>68.889658536585358</v>
      </c>
      <c r="J7" s="5">
        <v>74.024560975609774</v>
      </c>
      <c r="K7" s="5">
        <v>76.683780487804881</v>
      </c>
      <c r="L7" s="5">
        <v>73.764975609756107</v>
      </c>
      <c r="M7" s="5">
        <v>68.484317073170743</v>
      </c>
      <c r="N7" s="5">
        <v>73.927658536585369</v>
      </c>
      <c r="O7" s="5">
        <v>74.600000000000009</v>
      </c>
      <c r="P7" s="5">
        <v>73.696658536585375</v>
      </c>
      <c r="Q7" s="5">
        <v>76.236829268292695</v>
      </c>
      <c r="R7" s="5">
        <v>74.127317073170744</v>
      </c>
    </row>
    <row r="8" spans="1:18">
      <c r="A8" s="4" t="s">
        <v>8</v>
      </c>
      <c r="B8" s="5">
        <v>88.686999999999998</v>
      </c>
      <c r="C8" s="5">
        <v>88.851699999999994</v>
      </c>
      <c r="D8" s="5">
        <v>89.383799999999994</v>
      </c>
      <c r="E8" s="5">
        <v>81.177599999999998</v>
      </c>
      <c r="F8" s="5">
        <v>96.363119999999995</v>
      </c>
      <c r="G8" s="5">
        <v>99.692019999999999</v>
      </c>
      <c r="H8" s="5">
        <v>63.214500000000001</v>
      </c>
      <c r="I8" s="5">
        <v>77.152720000000002</v>
      </c>
      <c r="J8" s="5">
        <v>72.552948000000001</v>
      </c>
      <c r="K8" s="5">
        <v>88.781689999999998</v>
      </c>
      <c r="L8" s="5">
        <v>91.380520000000004</v>
      </c>
      <c r="M8" s="5">
        <v>85.713343533333301</v>
      </c>
      <c r="N8" s="5">
        <v>77.228110000000001</v>
      </c>
      <c r="O8" s="5">
        <v>93.744743200000002</v>
      </c>
      <c r="P8" s="5">
        <v>82.106939999999994</v>
      </c>
      <c r="Q8" s="5">
        <v>90.420860000000005</v>
      </c>
      <c r="R8" s="5">
        <v>82.518950000000004</v>
      </c>
    </row>
    <row r="9" spans="1:18">
      <c r="A9" s="3" t="s">
        <v>4</v>
      </c>
      <c r="B9" s="2">
        <f>(B3-3121.616)/(46773.9-3121.616)</f>
        <v>0.18640772132906491</v>
      </c>
      <c r="C9" s="2">
        <f t="shared" ref="C9:R9" si="0">(C3-3121.616)/(46773.9-3121.616)</f>
        <v>0.19206739420021135</v>
      </c>
      <c r="D9" s="2">
        <f t="shared" si="0"/>
        <v>0.25936239963006119</v>
      </c>
      <c r="E9" s="2">
        <f t="shared" si="0"/>
        <v>8.4708126019885144E-2</v>
      </c>
      <c r="F9" s="2">
        <f t="shared" si="0"/>
        <v>0.12205479208459377</v>
      </c>
      <c r="G9" s="2">
        <f t="shared" si="0"/>
        <v>0.1680123842499017</v>
      </c>
      <c r="H9" s="2">
        <f t="shared" si="0"/>
        <v>-8.749006242583754E-9</v>
      </c>
      <c r="I9" s="2">
        <f t="shared" si="0"/>
        <v>1.7216003508284953E-2</v>
      </c>
      <c r="J9" s="2">
        <f t="shared" si="0"/>
        <v>0.24465488879274047</v>
      </c>
      <c r="K9" s="2">
        <f t="shared" si="0"/>
        <v>0.2128379467279459</v>
      </c>
      <c r="L9" s="2">
        <f t="shared" si="0"/>
        <v>0.12326942926918774</v>
      </c>
      <c r="M9" s="2">
        <f t="shared" si="0"/>
        <v>9.8937833945713944E-3</v>
      </c>
      <c r="N9" s="2">
        <f t="shared" si="0"/>
        <v>0.1114617860151175</v>
      </c>
      <c r="O9" s="2">
        <f t="shared" si="0"/>
        <v>0.12308581111453436</v>
      </c>
      <c r="P9" s="2">
        <f t="shared" si="0"/>
        <v>0.21876284544796054</v>
      </c>
      <c r="Q9" s="2">
        <f t="shared" si="0"/>
        <v>0.21642549454038698</v>
      </c>
      <c r="R9" s="2">
        <f t="shared" si="0"/>
        <v>0.17805144383906965</v>
      </c>
    </row>
    <row r="10" spans="1:18">
      <c r="A10" s="3" t="s">
        <v>5</v>
      </c>
      <c r="B10" s="2">
        <f t="shared" ref="B10:R10" si="1">(B4-8408)/(67319-8408)</f>
        <v>0.33037972534840693</v>
      </c>
      <c r="C10" s="2">
        <f t="shared" si="1"/>
        <v>0.1661659112899119</v>
      </c>
      <c r="D10" s="2">
        <f t="shared" si="1"/>
        <v>0.40219992870601418</v>
      </c>
      <c r="E10" s="2">
        <f t="shared" si="1"/>
        <v>7.8711955322435537E-2</v>
      </c>
      <c r="F10" s="2">
        <f t="shared" si="1"/>
        <v>0.15630357658162314</v>
      </c>
      <c r="G10" s="2">
        <f t="shared" si="1"/>
        <v>0.16479095584865305</v>
      </c>
      <c r="H10" s="2">
        <f t="shared" si="1"/>
        <v>1.4937787509972671E-3</v>
      </c>
      <c r="I10" s="2">
        <f t="shared" si="1"/>
        <v>3.5069851131367659E-2</v>
      </c>
      <c r="J10" s="2">
        <f t="shared" si="1"/>
        <v>0.28461577634058155</v>
      </c>
      <c r="K10" s="2">
        <f t="shared" si="1"/>
        <v>0.19493812700514335</v>
      </c>
      <c r="L10" s="2">
        <f t="shared" si="1"/>
        <v>0.1124238257710784</v>
      </c>
      <c r="M10" s="2">
        <f t="shared" si="1"/>
        <v>0</v>
      </c>
      <c r="N10" s="2">
        <f t="shared" si="1"/>
        <v>0.12688632004209741</v>
      </c>
      <c r="O10" s="2">
        <f t="shared" si="1"/>
        <v>0.15160156846768855</v>
      </c>
      <c r="P10" s="2">
        <f t="shared" si="1"/>
        <v>0.32698477364159495</v>
      </c>
      <c r="Q10" s="2">
        <f t="shared" si="1"/>
        <v>0.26085111439289776</v>
      </c>
      <c r="R10" s="2">
        <f t="shared" si="1"/>
        <v>0.3294121641119655</v>
      </c>
    </row>
    <row r="11" spans="1:18">
      <c r="A11" s="3" t="s">
        <v>6</v>
      </c>
      <c r="B11" s="2">
        <f t="shared" ref="B11:R11" si="2">(B5-11.292)/(52.135-11.292)</f>
        <v>0.34318039129090683</v>
      </c>
      <c r="C11" s="2">
        <f t="shared" si="2"/>
        <v>0.23751361277526628</v>
      </c>
      <c r="D11" s="2">
        <f t="shared" si="2"/>
        <v>0.45073995953704732</v>
      </c>
      <c r="E11" s="2">
        <f t="shared" si="2"/>
        <v>0.99999149471869653</v>
      </c>
      <c r="F11" s="2">
        <f t="shared" si="2"/>
        <v>0.2124709071197064</v>
      </c>
      <c r="G11" s="2">
        <f t="shared" si="2"/>
        <v>0.15986805292396095</v>
      </c>
      <c r="H11" s="2">
        <f t="shared" si="2"/>
        <v>0.49902646516838134</v>
      </c>
      <c r="I11" s="2">
        <f t="shared" si="2"/>
        <v>0.56218187450817003</v>
      </c>
      <c r="J11" s="2">
        <f t="shared" si="2"/>
        <v>0.71042620009731094</v>
      </c>
      <c r="K11" s="2">
        <f t="shared" si="2"/>
        <v>0.28173718315701679</v>
      </c>
      <c r="L11" s="2">
        <f t="shared" si="2"/>
        <v>0.40882659600115318</v>
      </c>
      <c r="M11" s="2">
        <f t="shared" si="2"/>
        <v>0.18205858771558103</v>
      </c>
      <c r="N11" s="2">
        <f t="shared" si="2"/>
        <v>0.54043689400866124</v>
      </c>
      <c r="O11" s="2">
        <f t="shared" si="2"/>
        <v>0.23925870982210776</v>
      </c>
      <c r="P11" s="2">
        <f t="shared" si="2"/>
        <v>6.5636449812801992E-2</v>
      </c>
      <c r="Q11" s="2">
        <f t="shared" si="2"/>
        <v>0.19822131434375023</v>
      </c>
      <c r="R11" s="2">
        <f t="shared" si="2"/>
        <v>0.52894200785616663</v>
      </c>
    </row>
    <row r="12" spans="1:18">
      <c r="A12" s="3" t="s">
        <v>3</v>
      </c>
      <c r="B12" s="2">
        <f>(B6-29.131)/(183.43-29.131)</f>
        <v>7.1132465845357373E-2</v>
      </c>
      <c r="C12" s="2">
        <f t="shared" ref="C12:R12" si="3">(C6-29.131)/(183.43-29.131)</f>
        <v>0.56762620382626539</v>
      </c>
      <c r="D12" s="2">
        <f t="shared" si="3"/>
        <v>0.26467933781863506</v>
      </c>
      <c r="E12" s="2">
        <f t="shared" si="3"/>
        <v>0.18264575526700538</v>
      </c>
      <c r="F12" s="2">
        <f t="shared" si="3"/>
        <v>3.1026436044651214E-2</v>
      </c>
      <c r="G12" s="2">
        <f t="shared" si="3"/>
        <v>0.31924688223565995</v>
      </c>
      <c r="H12" s="2">
        <f t="shared" si="3"/>
        <v>0.13325953748623112</v>
      </c>
      <c r="I12" s="2">
        <f t="shared" si="3"/>
        <v>0.11945744984808587</v>
      </c>
      <c r="J12" s="2">
        <f t="shared" si="3"/>
        <v>0.91511457206746172</v>
      </c>
      <c r="K12" s="2">
        <f t="shared" si="3"/>
        <v>0.2120886399166507</v>
      </c>
      <c r="L12" s="2">
        <f t="shared" si="3"/>
        <v>0.12405663942193432</v>
      </c>
      <c r="M12" s="2">
        <f t="shared" si="3"/>
        <v>0.27406847270412804</v>
      </c>
      <c r="N12" s="2">
        <f t="shared" si="3"/>
        <v>0.68704620790712312</v>
      </c>
      <c r="O12" s="2">
        <f t="shared" si="3"/>
        <v>0.4776423884427124</v>
      </c>
      <c r="P12" s="2">
        <f t="shared" si="3"/>
        <v>0.12208711650758866</v>
      </c>
      <c r="Q12" s="2">
        <f t="shared" si="3"/>
        <v>0.15382864642906399</v>
      </c>
      <c r="R12" s="2">
        <f t="shared" si="3"/>
        <v>0.11021389331117039</v>
      </c>
    </row>
    <row r="13" spans="1:18">
      <c r="A13" s="4" t="s">
        <v>7</v>
      </c>
      <c r="B13" s="2">
        <f>(B7-65.131)/(82.933-65.131)</f>
        <v>0.58988576235610723</v>
      </c>
      <c r="C13" s="2">
        <f t="shared" ref="C13:R13" si="4">(C7-65.131)/(82.933-65.131)</f>
        <v>0.47080075957483536</v>
      </c>
      <c r="D13" s="2">
        <f t="shared" si="4"/>
        <v>0.77265092165583005</v>
      </c>
      <c r="E13" s="2">
        <f t="shared" si="4"/>
        <v>0.45736982142318983</v>
      </c>
      <c r="F13" s="2">
        <f t="shared" si="4"/>
        <v>0.46616576378099478</v>
      </c>
      <c r="G13" s="2">
        <f t="shared" si="4"/>
        <v>0.78988932457575345</v>
      </c>
      <c r="H13" s="2">
        <f t="shared" si="4"/>
        <v>1.9181182712187517E-5</v>
      </c>
      <c r="I13" s="2">
        <f t="shared" si="4"/>
        <v>0.21113686869932347</v>
      </c>
      <c r="J13" s="2">
        <f t="shared" si="4"/>
        <v>0.49958212423378101</v>
      </c>
      <c r="K13" s="2">
        <f t="shared" si="4"/>
        <v>0.64895969485478466</v>
      </c>
      <c r="L13" s="2">
        <f t="shared" si="4"/>
        <v>0.48500031511943059</v>
      </c>
      <c r="M13" s="2">
        <f t="shared" si="4"/>
        <v>0.18836743473602638</v>
      </c>
      <c r="N13" s="2">
        <f t="shared" si="4"/>
        <v>0.49413877859708827</v>
      </c>
      <c r="O13" s="2">
        <f t="shared" si="4"/>
        <v>0.53190652735647703</v>
      </c>
      <c r="P13" s="2">
        <f t="shared" si="4"/>
        <v>0.48116270849260595</v>
      </c>
      <c r="Q13" s="2">
        <f t="shared" si="4"/>
        <v>0.6238528967696152</v>
      </c>
      <c r="R13" s="2">
        <f t="shared" si="4"/>
        <v>0.5053542901455309</v>
      </c>
    </row>
    <row r="14" spans="1:18">
      <c r="A14" s="4" t="s">
        <v>8</v>
      </c>
      <c r="B14" s="2">
        <f>(B8-63.215)/(124.723-63.215)</f>
        <v>0.41412499187097607</v>
      </c>
      <c r="C14" s="2">
        <f t="shared" ref="C14:R14" si="5">(C8-63.215)/(124.723-63.215)</f>
        <v>0.41680269233270456</v>
      </c>
      <c r="D14" s="2">
        <f t="shared" si="5"/>
        <v>0.42545359953176809</v>
      </c>
      <c r="E14" s="2">
        <f t="shared" si="5"/>
        <v>0.29203680822006889</v>
      </c>
      <c r="F14" s="2">
        <f t="shared" si="5"/>
        <v>0.53892371724003374</v>
      </c>
      <c r="G14" s="2">
        <f t="shared" si="5"/>
        <v>0.59304513234050849</v>
      </c>
      <c r="H14" s="2">
        <f t="shared" si="5"/>
        <v>-8.1290238668528889E-6</v>
      </c>
      <c r="I14" s="2">
        <f t="shared" si="5"/>
        <v>0.22660011705794367</v>
      </c>
      <c r="J14" s="2">
        <f t="shared" si="5"/>
        <v>0.15181680431813743</v>
      </c>
      <c r="K14" s="2">
        <f t="shared" si="5"/>
        <v>0.41566446641087329</v>
      </c>
      <c r="L14" s="2">
        <f t="shared" si="5"/>
        <v>0.45791636860245827</v>
      </c>
      <c r="M14" s="2">
        <f t="shared" si="5"/>
        <v>0.36577914309249693</v>
      </c>
      <c r="N14" s="2">
        <f t="shared" si="5"/>
        <v>0.22782581127658189</v>
      </c>
      <c r="O14" s="2">
        <f t="shared" si="5"/>
        <v>0.49635402224100933</v>
      </c>
      <c r="P14" s="2">
        <f t="shared" si="5"/>
        <v>0.3071460623008388</v>
      </c>
      <c r="Q14" s="2">
        <f t="shared" si="5"/>
        <v>0.44231417051440469</v>
      </c>
      <c r="R14" s="2">
        <f t="shared" si="5"/>
        <v>0.31384454054757105</v>
      </c>
    </row>
    <row r="15" spans="1:18">
      <c r="A15" s="3" t="s">
        <v>46</v>
      </c>
      <c r="B15" s="2">
        <f t="shared" ref="B15:R15" si="6">(B9+B10+B11+B12+B13+B14)/6</f>
        <v>0.3225185096734699</v>
      </c>
      <c r="C15" s="2">
        <f t="shared" si="6"/>
        <v>0.34182942899986579</v>
      </c>
      <c r="D15" s="2">
        <f t="shared" si="6"/>
        <v>0.42918102447989259</v>
      </c>
      <c r="E15" s="2">
        <f t="shared" si="6"/>
        <v>0.34924399349521357</v>
      </c>
      <c r="F15" s="2">
        <f t="shared" si="6"/>
        <v>0.25449086547526717</v>
      </c>
      <c r="G15" s="2">
        <f t="shared" si="6"/>
        <v>0.36580878869573957</v>
      </c>
      <c r="H15" s="2">
        <f t="shared" si="6"/>
        <v>0.10563180413590813</v>
      </c>
      <c r="I15" s="2">
        <f t="shared" si="6"/>
        <v>0.19527702745886258</v>
      </c>
      <c r="J15" s="2">
        <f t="shared" si="6"/>
        <v>0.4677017276416689</v>
      </c>
      <c r="K15" s="2">
        <f t="shared" si="6"/>
        <v>0.32770434301206913</v>
      </c>
      <c r="L15" s="2">
        <f t="shared" si="6"/>
        <v>0.2852488623642071</v>
      </c>
      <c r="M15" s="2">
        <f t="shared" si="6"/>
        <v>0.17002790360713393</v>
      </c>
      <c r="N15" s="2">
        <f t="shared" si="6"/>
        <v>0.36463263297444493</v>
      </c>
      <c r="O15" s="2">
        <f t="shared" si="6"/>
        <v>0.3366415045740882</v>
      </c>
      <c r="P15" s="2">
        <f t="shared" si="6"/>
        <v>0.25362999270056513</v>
      </c>
      <c r="Q15" s="2">
        <f t="shared" si="6"/>
        <v>0.31591560616501979</v>
      </c>
      <c r="R15" s="2">
        <f t="shared" si="6"/>
        <v>0.32763638996857908</v>
      </c>
    </row>
    <row r="19" spans="1:18">
      <c r="A19" s="1" t="s">
        <v>9</v>
      </c>
      <c r="B19" s="2" t="s">
        <v>28</v>
      </c>
      <c r="C19" s="2" t="s">
        <v>29</v>
      </c>
      <c r="D19" s="2" t="s">
        <v>30</v>
      </c>
      <c r="E19" s="2" t="s">
        <v>31</v>
      </c>
      <c r="F19" s="2" t="s">
        <v>32</v>
      </c>
      <c r="G19" s="2" t="s">
        <v>33</v>
      </c>
      <c r="H19" s="2" t="s">
        <v>34</v>
      </c>
      <c r="I19" s="2" t="s">
        <v>35</v>
      </c>
      <c r="J19" s="2" t="s">
        <v>36</v>
      </c>
      <c r="K19" s="2" t="s">
        <v>37</v>
      </c>
      <c r="L19" s="2" t="s">
        <v>38</v>
      </c>
      <c r="M19" s="2" t="s">
        <v>39</v>
      </c>
      <c r="N19" s="2" t="s">
        <v>40</v>
      </c>
      <c r="O19" s="2" t="s">
        <v>41</v>
      </c>
      <c r="P19" s="2" t="s">
        <v>42</v>
      </c>
      <c r="Q19" s="2" t="s">
        <v>43</v>
      </c>
      <c r="R19" s="2" t="s">
        <v>44</v>
      </c>
    </row>
    <row r="20" spans="1:18">
      <c r="B20" s="2">
        <v>2010</v>
      </c>
      <c r="C20" s="2">
        <v>2010</v>
      </c>
      <c r="D20" s="2">
        <v>2010</v>
      </c>
      <c r="E20" s="2">
        <v>2010</v>
      </c>
      <c r="F20" s="2">
        <v>2010</v>
      </c>
      <c r="G20" s="2">
        <v>2010</v>
      </c>
      <c r="H20" s="2">
        <v>2010</v>
      </c>
      <c r="I20" s="2">
        <v>2010</v>
      </c>
      <c r="J20" s="2">
        <v>2010</v>
      </c>
      <c r="K20" s="2">
        <v>2010</v>
      </c>
      <c r="L20" s="2">
        <v>2010</v>
      </c>
      <c r="M20" s="2">
        <v>2010</v>
      </c>
      <c r="N20" s="2">
        <v>2010</v>
      </c>
      <c r="O20" s="2">
        <v>2010</v>
      </c>
      <c r="P20" s="2">
        <v>2010</v>
      </c>
      <c r="Q20" s="2">
        <v>2010</v>
      </c>
      <c r="R20" s="2">
        <v>2010</v>
      </c>
    </row>
    <row r="21" spans="1:18">
      <c r="A21" s="1" t="s">
        <v>0</v>
      </c>
      <c r="B21" s="3">
        <v>34620.923355479223</v>
      </c>
      <c r="C21" s="3">
        <v>32842.358222017923</v>
      </c>
      <c r="D21" s="3">
        <v>35222.504297926964</v>
      </c>
      <c r="E21" s="3">
        <v>32378.57980288746</v>
      </c>
      <c r="F21" s="3">
        <v>31321.676961837155</v>
      </c>
      <c r="G21" s="3">
        <v>29521.68133331824</v>
      </c>
      <c r="H21" s="3">
        <v>27059.095533660169</v>
      </c>
      <c r="I21" s="3">
        <v>36785.914467663861</v>
      </c>
      <c r="J21" s="3">
        <v>31029.746569937568</v>
      </c>
      <c r="K21" s="3">
        <v>36888.285718103733</v>
      </c>
      <c r="L21" s="3">
        <v>25215.025000475533</v>
      </c>
      <c r="M21" s="3">
        <v>46773.903170335652</v>
      </c>
      <c r="N21" s="3">
        <v>26908.044626957286</v>
      </c>
      <c r="O21" s="3">
        <v>34125.349323838294</v>
      </c>
      <c r="P21" s="3">
        <v>39041.581647086263</v>
      </c>
      <c r="Q21" s="3">
        <v>32765.530290140585</v>
      </c>
      <c r="R21" s="3">
        <v>43952.446494287382</v>
      </c>
    </row>
    <row r="22" spans="1:18">
      <c r="A22" s="1" t="s">
        <v>1</v>
      </c>
      <c r="B22" s="2">
        <v>48487</v>
      </c>
      <c r="C22" s="2">
        <v>54555</v>
      </c>
      <c r="D22" s="2">
        <v>49226</v>
      </c>
      <c r="E22" s="2">
        <v>46789</v>
      </c>
      <c r="F22" s="2">
        <v>51128</v>
      </c>
      <c r="G22" s="2">
        <v>52331</v>
      </c>
      <c r="H22" s="2">
        <v>45047</v>
      </c>
      <c r="I22" s="2">
        <v>55068</v>
      </c>
      <c r="J22" s="2">
        <v>44702</v>
      </c>
      <c r="K22" s="2">
        <v>46721</v>
      </c>
      <c r="L22" s="2">
        <v>37101</v>
      </c>
      <c r="M22" s="2">
        <v>50494</v>
      </c>
      <c r="N22" s="2">
        <v>41679</v>
      </c>
      <c r="O22" s="2">
        <v>50426</v>
      </c>
      <c r="P22" s="2">
        <v>41988</v>
      </c>
      <c r="Q22" s="2">
        <v>47986</v>
      </c>
      <c r="R22" s="2">
        <v>67319</v>
      </c>
    </row>
    <row r="23" spans="1:18">
      <c r="A23" s="1" t="s">
        <v>2</v>
      </c>
      <c r="B23" s="2">
        <v>25.798096547606775</v>
      </c>
      <c r="C23" s="2">
        <v>22.83243243243243</v>
      </c>
      <c r="D23" s="2">
        <v>20.325764738324565</v>
      </c>
      <c r="E23" s="2">
        <v>22.35843635512936</v>
      </c>
      <c r="F23" s="2">
        <v>19.812523770106711</v>
      </c>
      <c r="G23" s="2">
        <v>17.086910222388653</v>
      </c>
      <c r="H23" s="2">
        <v>18.303308741138739</v>
      </c>
      <c r="I23" s="2">
        <v>30.563144423195794</v>
      </c>
      <c r="J23" s="2">
        <v>20.969929419071047</v>
      </c>
      <c r="K23" s="2">
        <v>26.134626490471174</v>
      </c>
      <c r="L23" s="2">
        <v>21.384879319536235</v>
      </c>
      <c r="M23" s="2">
        <v>34.828826272398906</v>
      </c>
      <c r="N23" s="2">
        <v>20.618791609741031</v>
      </c>
      <c r="O23" s="2">
        <v>24.894390494050842</v>
      </c>
      <c r="P23" s="2">
        <v>31.166513994077711</v>
      </c>
      <c r="Q23" s="2">
        <v>12.954794489723975</v>
      </c>
      <c r="R23" s="2">
        <v>11.292425482336297</v>
      </c>
    </row>
    <row r="24" spans="1:18">
      <c r="A24" s="1" t="s">
        <v>3</v>
      </c>
      <c r="B24" s="2">
        <v>104.00993843277601</v>
      </c>
      <c r="C24" s="2">
        <v>157.52727272727273</v>
      </c>
      <c r="D24" s="2">
        <v>60.739883097953474</v>
      </c>
      <c r="E24" s="2">
        <v>95.150177501084542</v>
      </c>
      <c r="F24" s="2">
        <v>79.275263428712051</v>
      </c>
      <c r="G24" s="2">
        <v>53.307022092514224</v>
      </c>
      <c r="H24" s="2">
        <v>55.068569313538283</v>
      </c>
      <c r="I24" s="2">
        <v>183.4295582887747</v>
      </c>
      <c r="J24" s="2">
        <v>29.184209499407604</v>
      </c>
      <c r="K24" s="2">
        <v>148.27937629513877</v>
      </c>
      <c r="L24" s="2">
        <v>55.417714001322253</v>
      </c>
      <c r="M24" s="2">
        <v>69.900674771106509</v>
      </c>
      <c r="N24" s="2">
        <v>56.557213721644843</v>
      </c>
      <c r="O24" s="2">
        <v>92.779093287822647</v>
      </c>
      <c r="P24" s="2">
        <v>92.199438258611636</v>
      </c>
      <c r="Q24" s="2">
        <v>63.227301272562009</v>
      </c>
      <c r="R24" s="2">
        <v>29.130893102348228</v>
      </c>
    </row>
    <row r="25" spans="1:18">
      <c r="A25" s="6" t="s">
        <v>27</v>
      </c>
      <c r="B25" s="2">
        <v>80.382926829268314</v>
      </c>
      <c r="C25" s="2">
        <v>79.936585365853674</v>
      </c>
      <c r="D25" s="2">
        <v>80.797804878048794</v>
      </c>
      <c r="E25" s="2">
        <v>79.100000000000009</v>
      </c>
      <c r="F25" s="2">
        <v>79.870731707317091</v>
      </c>
      <c r="G25" s="2">
        <v>81.368292682926835</v>
      </c>
      <c r="H25" s="2">
        <v>81.736585365853671</v>
      </c>
      <c r="I25" s="2">
        <v>80.2919512195122</v>
      </c>
      <c r="J25" s="2">
        <v>82.932682926829273</v>
      </c>
      <c r="K25" s="2">
        <v>80.702439024390245</v>
      </c>
      <c r="L25" s="2">
        <v>80.702439024390245</v>
      </c>
      <c r="M25" s="2">
        <v>80.997560975609773</v>
      </c>
      <c r="N25" s="2">
        <v>81.626829268292695</v>
      </c>
      <c r="O25" s="2">
        <v>81.451219512195138</v>
      </c>
      <c r="P25" s="2">
        <v>82.246341463414652</v>
      </c>
      <c r="Q25" s="2">
        <v>80.402439024390247</v>
      </c>
      <c r="R25" s="2">
        <v>78.24146341463414</v>
      </c>
    </row>
    <row r="26" spans="1:18">
      <c r="A26" s="6" t="s">
        <v>45</v>
      </c>
      <c r="B26" s="2">
        <v>98.929839999999999</v>
      </c>
      <c r="C26" s="2">
        <v>110.51548</v>
      </c>
      <c r="D26" s="2">
        <v>104.69811283503</v>
      </c>
      <c r="E26" s="2">
        <v>118.70322</v>
      </c>
      <c r="F26" s="2">
        <v>107.54187</v>
      </c>
      <c r="G26" s="2">
        <v>113.18583</v>
      </c>
      <c r="H26" s="2">
        <v>100.39973999999999</v>
      </c>
      <c r="I26" s="2">
        <v>120.98887000000001</v>
      </c>
      <c r="J26" s="2">
        <v>102.19901</v>
      </c>
      <c r="K26" s="2">
        <v>121.46396</v>
      </c>
      <c r="L26" s="2">
        <v>119.08271000000001</v>
      </c>
      <c r="M26" s="2">
        <v>111.00127000000001</v>
      </c>
      <c r="N26" s="2">
        <v>124.72306</v>
      </c>
      <c r="O26" s="2">
        <v>99.206639999999993</v>
      </c>
      <c r="P26" s="2">
        <v>95.395610000000005</v>
      </c>
      <c r="Q26" s="2">
        <v>105.33817000000001</v>
      </c>
      <c r="R26" s="2">
        <v>96.04074</v>
      </c>
    </row>
    <row r="27" spans="1:18">
      <c r="A27" s="3" t="s">
        <v>4</v>
      </c>
      <c r="B27" s="2">
        <f t="shared" ref="B27:R27" si="7">(B21-3121.616)/(46773.9-3121.616)</f>
        <v>0.72159585866066533</v>
      </c>
      <c r="C27" s="2">
        <f t="shared" si="7"/>
        <v>0.68085193943157529</v>
      </c>
      <c r="D27" s="2">
        <f t="shared" si="7"/>
        <v>0.73537706063506236</v>
      </c>
      <c r="E27" s="2">
        <f t="shared" si="7"/>
        <v>0.67022756020939156</v>
      </c>
      <c r="F27" s="2">
        <f t="shared" si="7"/>
        <v>0.6460157035961086</v>
      </c>
      <c r="G27" s="2">
        <f t="shared" si="7"/>
        <v>0.60478084796933518</v>
      </c>
      <c r="H27" s="2">
        <f t="shared" si="7"/>
        <v>0.54836717212002395</v>
      </c>
      <c r="I27" s="2">
        <f t="shared" si="7"/>
        <v>0.77119214352366672</v>
      </c>
      <c r="J27" s="2">
        <f t="shared" si="7"/>
        <v>0.63932807204171871</v>
      </c>
      <c r="K27" s="2">
        <f t="shared" si="7"/>
        <v>0.77353729573700503</v>
      </c>
      <c r="L27" s="2">
        <f t="shared" si="7"/>
        <v>0.50612263496855137</v>
      </c>
      <c r="M27" s="2">
        <f t="shared" si="7"/>
        <v>1.0000000726270279</v>
      </c>
      <c r="N27" s="2">
        <f t="shared" si="7"/>
        <v>0.54490685131062755</v>
      </c>
      <c r="O27" s="2">
        <f t="shared" si="7"/>
        <v>0.71024309572984301</v>
      </c>
      <c r="P27" s="2">
        <f t="shared" si="7"/>
        <v>0.82286566373219461</v>
      </c>
      <c r="Q27" s="2">
        <f t="shared" si="7"/>
        <v>0.67909194144665119</v>
      </c>
      <c r="R27" s="2">
        <f t="shared" si="7"/>
        <v>0.93536527193599717</v>
      </c>
    </row>
    <row r="28" spans="1:18">
      <c r="A28" s="3" t="s">
        <v>5</v>
      </c>
      <c r="B28" s="2">
        <f>(B22-8408)/(67319-8408)</f>
        <v>0.68033134728658484</v>
      </c>
      <c r="C28" s="2">
        <f t="shared" ref="C28:R28" si="8">(C22-8408)/(67319-8408)</f>
        <v>0.78333418207126004</v>
      </c>
      <c r="D28" s="2">
        <f t="shared" si="8"/>
        <v>0.69287569384325509</v>
      </c>
      <c r="E28" s="2">
        <f t="shared" si="8"/>
        <v>0.65150820729575121</v>
      </c>
      <c r="F28" s="2">
        <f t="shared" si="8"/>
        <v>0.72516168457503694</v>
      </c>
      <c r="G28" s="2">
        <f t="shared" si="8"/>
        <v>0.74558231909151096</v>
      </c>
      <c r="H28" s="2">
        <f t="shared" si="8"/>
        <v>0.62193817792941897</v>
      </c>
      <c r="I28" s="2">
        <f t="shared" si="8"/>
        <v>0.79204223319923273</v>
      </c>
      <c r="J28" s="2">
        <f t="shared" si="8"/>
        <v>0.61608188623516835</v>
      </c>
      <c r="K28" s="2">
        <f t="shared" si="8"/>
        <v>0.6503539237154351</v>
      </c>
      <c r="L28" s="2">
        <f t="shared" si="8"/>
        <v>0.48705674661777937</v>
      </c>
      <c r="M28" s="2">
        <f t="shared" si="8"/>
        <v>0.71439968766444295</v>
      </c>
      <c r="N28" s="2">
        <f t="shared" si="8"/>
        <v>0.56476719118670538</v>
      </c>
      <c r="O28" s="2">
        <f t="shared" si="8"/>
        <v>0.71324540408412695</v>
      </c>
      <c r="P28" s="2">
        <f t="shared" si="8"/>
        <v>0.57001239157372985</v>
      </c>
      <c r="Q28" s="2">
        <f t="shared" si="8"/>
        <v>0.67182699326102091</v>
      </c>
      <c r="R28" s="2">
        <f t="shared" si="8"/>
        <v>1</v>
      </c>
    </row>
    <row r="29" spans="1:18">
      <c r="A29" s="3" t="s">
        <v>6</v>
      </c>
      <c r="B29" s="2">
        <f>(B23-11.292)/(52.135-11.292)</f>
        <v>0.35516726360959716</v>
      </c>
      <c r="C29" s="2">
        <f t="shared" ref="C29:R29" si="9">(C23-11.292)/(52.135-11.292)</f>
        <v>0.2825559442850043</v>
      </c>
      <c r="D29" s="2">
        <f t="shared" si="9"/>
        <v>0.22118269319894637</v>
      </c>
      <c r="E29" s="2">
        <f t="shared" si="9"/>
        <v>0.27095062446757978</v>
      </c>
      <c r="F29" s="2">
        <f t="shared" si="9"/>
        <v>0.20861650148389474</v>
      </c>
      <c r="G29" s="2">
        <f t="shared" si="9"/>
        <v>0.14188258018237282</v>
      </c>
      <c r="H29" s="2">
        <f t="shared" si="9"/>
        <v>0.17166488115806233</v>
      </c>
      <c r="I29" s="2">
        <f t="shared" si="9"/>
        <v>0.47183469439550951</v>
      </c>
      <c r="J29" s="2">
        <f t="shared" si="9"/>
        <v>0.23695442105308248</v>
      </c>
      <c r="K29" s="2">
        <f t="shared" si="9"/>
        <v>0.36340686263181393</v>
      </c>
      <c r="L29" s="2">
        <f t="shared" si="9"/>
        <v>0.24711405429415656</v>
      </c>
      <c r="M29" s="2">
        <f t="shared" si="9"/>
        <v>0.57627564753810712</v>
      </c>
      <c r="N29" s="2">
        <f t="shared" si="9"/>
        <v>0.22835716303261347</v>
      </c>
      <c r="O29" s="2">
        <f t="shared" si="9"/>
        <v>0.33304092485984976</v>
      </c>
      <c r="P29" s="2">
        <f t="shared" si="9"/>
        <v>0.48660759479170757</v>
      </c>
      <c r="Q29" s="2">
        <f t="shared" si="9"/>
        <v>4.071185979785949E-2</v>
      </c>
      <c r="R29" s="2">
        <f t="shared" si="9"/>
        <v>1.0417509396886194E-5</v>
      </c>
    </row>
    <row r="30" spans="1:18">
      <c r="A30" s="3" t="s">
        <v>3</v>
      </c>
      <c r="B30" s="2">
        <f>(B24-29.131)/(183.43-29.131)</f>
        <v>0.4852846644033727</v>
      </c>
      <c r="C30" s="2">
        <f t="shared" ref="C30:R30" si="10">(C24-29.131)/(183.43-29.131)</f>
        <v>0.83212640864343079</v>
      </c>
      <c r="D30" s="2">
        <f t="shared" si="10"/>
        <v>0.20485475017954408</v>
      </c>
      <c r="E30" s="2">
        <f t="shared" si="10"/>
        <v>0.42786523244534663</v>
      </c>
      <c r="F30" s="2">
        <f t="shared" si="10"/>
        <v>0.32498113032950343</v>
      </c>
      <c r="G30" s="2">
        <f t="shared" si="10"/>
        <v>0.15668294734582999</v>
      </c>
      <c r="H30" s="2">
        <f t="shared" si="10"/>
        <v>0.16809939995423354</v>
      </c>
      <c r="I30" s="2">
        <f t="shared" si="10"/>
        <v>0.99999713730338302</v>
      </c>
      <c r="J30" s="2">
        <f t="shared" si="10"/>
        <v>3.4484668991765339E-4</v>
      </c>
      <c r="K30" s="2">
        <f t="shared" si="10"/>
        <v>0.77219150023745309</v>
      </c>
      <c r="L30" s="2">
        <f t="shared" si="10"/>
        <v>0.1703621799319649</v>
      </c>
      <c r="M30" s="2">
        <f t="shared" si="10"/>
        <v>0.26422513931461972</v>
      </c>
      <c r="N30" s="2">
        <f t="shared" si="10"/>
        <v>0.17774719033593764</v>
      </c>
      <c r="O30" s="2">
        <f t="shared" si="10"/>
        <v>0.41249841727958475</v>
      </c>
      <c r="P30" s="2">
        <f t="shared" si="10"/>
        <v>0.40874171743570364</v>
      </c>
      <c r="Q30" s="2">
        <f t="shared" si="10"/>
        <v>0.22097551683784086</v>
      </c>
      <c r="R30" s="2">
        <f t="shared" si="10"/>
        <v>-6.9279549298560882E-7</v>
      </c>
    </row>
    <row r="31" spans="1:18">
      <c r="A31" s="3" t="s">
        <v>7</v>
      </c>
      <c r="B31" s="2">
        <f>(B25-65.131)/(82.933-65.131)</f>
        <v>0.85675355742435166</v>
      </c>
      <c r="C31" s="2">
        <f t="shared" ref="C31:R31" si="11">(C25-65.131)/(82.933-65.131)</f>
        <v>0.83168101145116657</v>
      </c>
      <c r="D31" s="2">
        <f t="shared" si="11"/>
        <v>0.88005869441909834</v>
      </c>
      <c r="E31" s="2">
        <f t="shared" si="11"/>
        <v>0.7846871138074375</v>
      </c>
      <c r="F31" s="2">
        <f t="shared" si="11"/>
        <v>0.82798178335676242</v>
      </c>
      <c r="G31" s="2">
        <f t="shared" si="11"/>
        <v>0.9121049703924744</v>
      </c>
      <c r="H31" s="2">
        <f t="shared" si="11"/>
        <v>0.93279324603155067</v>
      </c>
      <c r="I31" s="2">
        <f t="shared" si="11"/>
        <v>0.85164314231615512</v>
      </c>
      <c r="J31" s="2">
        <f t="shared" si="11"/>
        <v>0.99998218890176749</v>
      </c>
      <c r="K31" s="2">
        <f t="shared" si="11"/>
        <v>0.87470166410460837</v>
      </c>
      <c r="L31" s="2">
        <f t="shared" si="11"/>
        <v>0.87470166410460837</v>
      </c>
      <c r="M31" s="2">
        <f t="shared" si="11"/>
        <v>0.89127968630545817</v>
      </c>
      <c r="N31" s="2">
        <f t="shared" si="11"/>
        <v>0.9266278658742102</v>
      </c>
      <c r="O31" s="2">
        <f t="shared" si="11"/>
        <v>0.91676325762246558</v>
      </c>
      <c r="P31" s="2">
        <f t="shared" si="11"/>
        <v>0.96142801165119907</v>
      </c>
      <c r="Q31" s="2">
        <f t="shared" si="11"/>
        <v>0.85784962500787787</v>
      </c>
      <c r="R31" s="2">
        <f t="shared" si="11"/>
        <v>0.73646014013223993</v>
      </c>
    </row>
    <row r="32" spans="1:18">
      <c r="A32" s="4" t="s">
        <v>8</v>
      </c>
      <c r="B32" s="2">
        <f>(B26-63.215)/(124.723-63.215)</f>
        <v>0.5806535735188918</v>
      </c>
      <c r="C32" s="2">
        <f t="shared" ref="C32:R32" si="12">(C26-63.215)/(124.723-63.215)</f>
        <v>0.76901346166352336</v>
      </c>
      <c r="D32" s="2">
        <f t="shared" si="12"/>
        <v>0.67443442861140013</v>
      </c>
      <c r="E32" s="2">
        <f t="shared" si="12"/>
        <v>0.90213012941406001</v>
      </c>
      <c r="F32" s="2">
        <f t="shared" si="12"/>
        <v>0.7206683683423295</v>
      </c>
      <c r="G32" s="2">
        <f t="shared" si="12"/>
        <v>0.81242813942901726</v>
      </c>
      <c r="H32" s="2">
        <f t="shared" si="12"/>
        <v>0.60455127788255181</v>
      </c>
      <c r="I32" s="2">
        <f t="shared" si="12"/>
        <v>0.93929033621642721</v>
      </c>
      <c r="J32" s="2">
        <f t="shared" si="12"/>
        <v>0.63380389542823701</v>
      </c>
      <c r="K32" s="2">
        <f t="shared" si="12"/>
        <v>0.94701437211419659</v>
      </c>
      <c r="L32" s="2">
        <f t="shared" si="12"/>
        <v>0.90829989594849458</v>
      </c>
      <c r="M32" s="2">
        <f t="shared" si="12"/>
        <v>0.7769114586720427</v>
      </c>
      <c r="N32" s="2">
        <f t="shared" si="12"/>
        <v>1.000000975482864</v>
      </c>
      <c r="O32" s="2">
        <f t="shared" si="12"/>
        <v>0.58515380113156001</v>
      </c>
      <c r="P32" s="2">
        <f t="shared" si="12"/>
        <v>0.5231938934772713</v>
      </c>
      <c r="Q32" s="2">
        <f t="shared" si="12"/>
        <v>0.68484050855173317</v>
      </c>
      <c r="R32" s="2">
        <f t="shared" si="12"/>
        <v>0.53368244781166674</v>
      </c>
    </row>
    <row r="33" spans="1:18">
      <c r="A33" s="4" t="s">
        <v>46</v>
      </c>
      <c r="B33" s="2">
        <f>(B27+B28+B29+B30+B31+B32)/6</f>
        <v>0.61329771081724394</v>
      </c>
      <c r="C33" s="2">
        <f t="shared" ref="C33:R33" si="13">(C27+C28+C29+C30+C31+C32)/6</f>
        <v>0.69659382459099339</v>
      </c>
      <c r="D33" s="2">
        <f t="shared" si="13"/>
        <v>0.56813055348121777</v>
      </c>
      <c r="E33" s="2">
        <f t="shared" si="13"/>
        <v>0.61789481127326118</v>
      </c>
      <c r="F33" s="2">
        <f t="shared" si="13"/>
        <v>0.57557086194727258</v>
      </c>
      <c r="G33" s="2">
        <f t="shared" si="13"/>
        <v>0.56224363406842348</v>
      </c>
      <c r="H33" s="2">
        <f t="shared" si="13"/>
        <v>0.50790235917930693</v>
      </c>
      <c r="I33" s="2">
        <f t="shared" si="13"/>
        <v>0.80433328115906233</v>
      </c>
      <c r="J33" s="2">
        <f t="shared" si="13"/>
        <v>0.52108255172498197</v>
      </c>
      <c r="K33" s="2">
        <f t="shared" si="13"/>
        <v>0.73020093642341866</v>
      </c>
      <c r="L33" s="2">
        <f t="shared" si="13"/>
        <v>0.53227619597759246</v>
      </c>
      <c r="M33" s="2">
        <f t="shared" si="13"/>
        <v>0.70384861535361642</v>
      </c>
      <c r="N33" s="2">
        <f t="shared" si="13"/>
        <v>0.57373453953715969</v>
      </c>
      <c r="O33" s="2">
        <f t="shared" si="13"/>
        <v>0.61182415011790503</v>
      </c>
      <c r="P33" s="2">
        <f t="shared" si="13"/>
        <v>0.62880821211030102</v>
      </c>
      <c r="Q33" s="2">
        <f t="shared" si="13"/>
        <v>0.52588274081716391</v>
      </c>
      <c r="R33" s="2">
        <f t="shared" si="13"/>
        <v>0.53425293076563463</v>
      </c>
    </row>
    <row r="35" spans="1:18">
      <c r="A35" s="1" t="s">
        <v>9</v>
      </c>
      <c r="B35" s="2" t="s">
        <v>10</v>
      </c>
      <c r="C35" s="2" t="s">
        <v>11</v>
      </c>
      <c r="D35" s="2" t="s">
        <v>12</v>
      </c>
      <c r="E35" s="2" t="s">
        <v>13</v>
      </c>
      <c r="F35" s="2" t="s">
        <v>14</v>
      </c>
      <c r="G35" s="2" t="s">
        <v>15</v>
      </c>
      <c r="H35" s="2" t="s">
        <v>16</v>
      </c>
      <c r="I35" s="2" t="s">
        <v>17</v>
      </c>
      <c r="J35" s="2" t="s">
        <v>18</v>
      </c>
      <c r="K35" s="2" t="s">
        <v>19</v>
      </c>
      <c r="L35" s="2" t="s">
        <v>20</v>
      </c>
      <c r="M35" s="2" t="s">
        <v>21</v>
      </c>
      <c r="N35" s="2" t="s">
        <v>22</v>
      </c>
      <c r="O35" s="2" t="s">
        <v>23</v>
      </c>
      <c r="P35" s="2" t="s">
        <v>24</v>
      </c>
      <c r="Q35" s="2" t="s">
        <v>25</v>
      </c>
      <c r="R35" s="2" t="s">
        <v>26</v>
      </c>
    </row>
    <row r="36" spans="1:18">
      <c r="B36" s="2">
        <v>2009</v>
      </c>
      <c r="C36" s="2">
        <v>2009</v>
      </c>
      <c r="D36" s="2">
        <v>2009</v>
      </c>
      <c r="E36" s="2">
        <v>2009</v>
      </c>
      <c r="F36" s="2">
        <v>2009</v>
      </c>
      <c r="G36" s="2">
        <v>2009</v>
      </c>
      <c r="H36" s="2">
        <v>2009</v>
      </c>
      <c r="I36" s="2">
        <v>2009</v>
      </c>
      <c r="J36" s="2">
        <v>2009</v>
      </c>
      <c r="K36" s="2">
        <v>2009</v>
      </c>
      <c r="L36" s="2">
        <v>2009</v>
      </c>
      <c r="M36" s="2">
        <v>2009</v>
      </c>
      <c r="N36" s="2">
        <v>2009</v>
      </c>
      <c r="O36" s="2">
        <v>2009</v>
      </c>
      <c r="P36" s="2">
        <v>2009</v>
      </c>
      <c r="Q36" s="2">
        <v>2009</v>
      </c>
      <c r="R36" s="2">
        <v>2009</v>
      </c>
    </row>
    <row r="37" spans="1:18">
      <c r="A37" s="1" t="s">
        <v>0</v>
      </c>
      <c r="B37" s="3">
        <v>10136.562746674699</v>
      </c>
      <c r="C37" s="3">
        <v>11383.142235073719</v>
      </c>
      <c r="D37" s="3">
        <v>13784.178827654654</v>
      </c>
      <c r="E37" s="3">
        <v>6206.8237276265199</v>
      </c>
      <c r="F37" s="3">
        <v>8240.7588304836045</v>
      </c>
      <c r="G37" s="3">
        <v>10109.968423088532</v>
      </c>
      <c r="H37" s="3">
        <v>2860.5505265391512</v>
      </c>
      <c r="I37" s="3">
        <v>3695.1704279821629</v>
      </c>
      <c r="J37" s="3">
        <v>13071.888877896825</v>
      </c>
      <c r="K37" s="3">
        <v>11962.452934346014</v>
      </c>
      <c r="L37" s="3">
        <v>7904.2693562650211</v>
      </c>
      <c r="M37" s="3">
        <v>3357.4982825524421</v>
      </c>
      <c r="N37" s="3">
        <v>7422.5036146066786</v>
      </c>
      <c r="O37" s="3">
        <v>8333.6813418662568</v>
      </c>
      <c r="P37" s="3">
        <v>11754.232014873158</v>
      </c>
      <c r="Q37" s="3">
        <v>11576.518048737749</v>
      </c>
      <c r="R37" s="3">
        <v>11236.673051092566</v>
      </c>
    </row>
    <row r="38" spans="1:18">
      <c r="A38" s="1" t="s">
        <v>1</v>
      </c>
      <c r="B38" s="2">
        <v>26171</v>
      </c>
      <c r="C38" s="2">
        <v>17101</v>
      </c>
      <c r="D38" s="2">
        <v>30854</v>
      </c>
      <c r="E38" s="2">
        <v>11867</v>
      </c>
      <c r="F38" s="2">
        <v>17194</v>
      </c>
      <c r="G38" s="2">
        <v>17716</v>
      </c>
      <c r="H38" s="2">
        <v>7990</v>
      </c>
      <c r="I38" s="2">
        <v>10186</v>
      </c>
      <c r="J38" s="2">
        <v>23987</v>
      </c>
      <c r="K38" s="2">
        <v>19080</v>
      </c>
      <c r="L38" s="2">
        <v>14053</v>
      </c>
      <c r="M38" s="2">
        <v>8029</v>
      </c>
      <c r="N38" s="2">
        <v>14863</v>
      </c>
      <c r="O38" s="2">
        <v>17036</v>
      </c>
      <c r="P38" s="2">
        <v>26920</v>
      </c>
      <c r="Q38" s="2">
        <v>22064</v>
      </c>
      <c r="R38" s="2">
        <v>28846</v>
      </c>
    </row>
    <row r="39" spans="1:18">
      <c r="A39" s="1" t="s">
        <v>2</v>
      </c>
      <c r="B39" s="2">
        <v>26.269445828155146</v>
      </c>
      <c r="C39" s="2">
        <v>20.532638209199099</v>
      </c>
      <c r="D39" s="2">
        <v>27.754433819214615</v>
      </c>
      <c r="E39" s="2">
        <v>52.653138482944463</v>
      </c>
      <c r="F39" s="2">
        <v>20.221659892954875</v>
      </c>
      <c r="G39" s="2">
        <v>16.87403627658162</v>
      </c>
      <c r="H39" s="2">
        <v>30.747561728377743</v>
      </c>
      <c r="I39" s="2">
        <v>33.791310177598973</v>
      </c>
      <c r="J39" s="2">
        <v>38.110114496856319</v>
      </c>
      <c r="K39" s="2">
        <v>22.366009725506046</v>
      </c>
      <c r="L39" s="2">
        <v>24.289549664346158</v>
      </c>
      <c r="M39" s="2">
        <v>15.465882345799914</v>
      </c>
      <c r="N39" s="2">
        <v>31.786935670660931</v>
      </c>
      <c r="O39" s="2">
        <v>21.858568808088794</v>
      </c>
      <c r="P39" s="2">
        <v>13.832358341107653</v>
      </c>
      <c r="Q39" s="2">
        <v>20.263859036761758</v>
      </c>
      <c r="R39" s="2">
        <v>23.419054102919848</v>
      </c>
    </row>
    <row r="40" spans="1:18">
      <c r="A40" s="1" t="s">
        <v>3</v>
      </c>
      <c r="B40" s="2">
        <v>37.353524840946505</v>
      </c>
      <c r="C40" s="2">
        <v>103.84836949831833</v>
      </c>
      <c r="D40" s="2">
        <v>66.523308054291917</v>
      </c>
      <c r="E40" s="2">
        <v>49.015714694576609</v>
      </c>
      <c r="F40" s="2">
        <v>34.280001664529856</v>
      </c>
      <c r="G40" s="2">
        <v>83.97682962183039</v>
      </c>
      <c r="H40" s="2">
        <v>45.63743815664634</v>
      </c>
      <c r="I40" s="2">
        <v>45.512121092667272</v>
      </c>
      <c r="J40" s="2">
        <v>162.55874241433779</v>
      </c>
      <c r="K40" s="2">
        <v>56.918054674780528</v>
      </c>
      <c r="L40" s="2">
        <v>44.374327150898942</v>
      </c>
      <c r="M40" s="2">
        <v>65.590384639535969</v>
      </c>
      <c r="N40" s="2">
        <v>126.1573152659317</v>
      </c>
      <c r="O40" s="2">
        <v>93.006374238953967</v>
      </c>
      <c r="P40" s="2">
        <v>47.738241653774985</v>
      </c>
      <c r="Q40" s="2">
        <v>55.202349814265496</v>
      </c>
      <c r="R40" s="2">
        <v>38.520929658329749</v>
      </c>
    </row>
    <row r="41" spans="1:18">
      <c r="A41" s="6" t="s">
        <v>27</v>
      </c>
      <c r="B41" s="5">
        <v>75.464097560975603</v>
      </c>
      <c r="C41" s="5">
        <v>73.412195121951228</v>
      </c>
      <c r="D41" s="5">
        <v>78.762707317073179</v>
      </c>
      <c r="E41" s="5">
        <v>73.056512195121954</v>
      </c>
      <c r="F41" s="5">
        <v>73.2099756097561</v>
      </c>
      <c r="G41" s="5">
        <v>79.069170731707331</v>
      </c>
      <c r="H41" s="5">
        <v>64.778560975609764</v>
      </c>
      <c r="I41" s="5">
        <v>68.470975609756096</v>
      </c>
      <c r="J41" s="5">
        <v>73.790804878048789</v>
      </c>
      <c r="K41" s="5">
        <v>76.465560975609762</v>
      </c>
      <c r="L41" s="5">
        <v>73.543073170731702</v>
      </c>
      <c r="M41" s="5">
        <v>68.225512195121965</v>
      </c>
      <c r="N41" s="5">
        <v>73.768024390243909</v>
      </c>
      <c r="O41" s="5">
        <v>74.451219512195124</v>
      </c>
      <c r="P41" s="5">
        <v>73.424634146341475</v>
      </c>
      <c r="Q41" s="5">
        <v>76.111219512195134</v>
      </c>
      <c r="R41" s="5">
        <v>73.942439024390254</v>
      </c>
    </row>
    <row r="42" spans="1:18">
      <c r="A42" s="6" t="s">
        <v>48</v>
      </c>
      <c r="B42" s="5">
        <v>88.5321</v>
      </c>
      <c r="C42" s="5">
        <v>88.022800000000004</v>
      </c>
      <c r="D42" s="5">
        <v>87.921009999999995</v>
      </c>
      <c r="E42" s="5">
        <v>80.052580000000006</v>
      </c>
      <c r="F42" s="5">
        <v>94.635909999999996</v>
      </c>
      <c r="G42" s="5">
        <v>97.170069999999996</v>
      </c>
      <c r="H42" s="5">
        <v>59.535080000000001</v>
      </c>
      <c r="I42" s="5">
        <v>75.057360000000003</v>
      </c>
      <c r="J42" s="5">
        <v>68.295079999999999</v>
      </c>
      <c r="K42" s="5">
        <v>86.920760000000001</v>
      </c>
      <c r="L42" s="5">
        <v>91.606849999999994</v>
      </c>
      <c r="M42" s="5">
        <v>84.822320000000005</v>
      </c>
      <c r="N42" s="5">
        <v>76.094120000000004</v>
      </c>
      <c r="O42" s="5">
        <v>90.47439</v>
      </c>
      <c r="P42" s="5">
        <v>77.557329999999993</v>
      </c>
      <c r="Q42" s="5">
        <v>90.238320000000002</v>
      </c>
      <c r="R42" s="5">
        <v>82.587159999999997</v>
      </c>
    </row>
    <row r="43" spans="1:18">
      <c r="A43" s="3" t="s">
        <v>4</v>
      </c>
      <c r="B43" s="2">
        <f>(B37-3357.498)/(47134.84-3357.498)</f>
        <v>0.15485327425028911</v>
      </c>
      <c r="C43" s="2">
        <f t="shared" ref="C43:R43" si="14">(C37-3357.498)/(47134.84-3357.498)</f>
        <v>0.18332872368253239</v>
      </c>
      <c r="D43" s="2">
        <f t="shared" si="14"/>
        <v>0.23817528317855971</v>
      </c>
      <c r="E43" s="2">
        <f t="shared" si="14"/>
        <v>6.5086768576002624E-2</v>
      </c>
      <c r="F43" s="2">
        <f t="shared" si="14"/>
        <v>0.11154767757447689</v>
      </c>
      <c r="G43" s="2">
        <f t="shared" si="14"/>
        <v>0.15424578365421393</v>
      </c>
      <c r="H43" s="2">
        <f t="shared" si="14"/>
        <v>-1.1351705031814149E-2</v>
      </c>
      <c r="I43" s="2">
        <f t="shared" si="14"/>
        <v>7.7134063548710396E-3</v>
      </c>
      <c r="J43" s="2">
        <f t="shared" si="14"/>
        <v>0.22190453860576612</v>
      </c>
      <c r="K43" s="2">
        <f t="shared" si="14"/>
        <v>0.1965618409255184</v>
      </c>
      <c r="L43" s="2">
        <f t="shared" si="14"/>
        <v>0.10386129327506957</v>
      </c>
      <c r="M43" s="2">
        <f t="shared" si="14"/>
        <v>6.4543078485363262E-9</v>
      </c>
      <c r="N43" s="2">
        <f t="shared" si="14"/>
        <v>9.285638252333088E-2</v>
      </c>
      <c r="O43" s="2">
        <f t="shared" si="14"/>
        <v>0.11367029414134502</v>
      </c>
      <c r="P43" s="2">
        <f t="shared" si="14"/>
        <v>0.19180547815975577</v>
      </c>
      <c r="Q43" s="2">
        <f t="shared" si="14"/>
        <v>0.18774598167101489</v>
      </c>
      <c r="R43" s="2">
        <f t="shared" si="14"/>
        <v>0.17998294759632888</v>
      </c>
    </row>
    <row r="44" spans="1:18">
      <c r="A44" s="3" t="s">
        <v>5</v>
      </c>
      <c r="B44" s="2">
        <f>(B38-7990)/(64970-7990)</f>
        <v>0.31907686907686905</v>
      </c>
      <c r="C44" s="2">
        <f t="shared" ref="C44:R44" si="15">(C38-7990)/(64970-7990)</f>
        <v>0.15989820989820991</v>
      </c>
      <c r="D44" s="2">
        <f t="shared" si="15"/>
        <v>0.40126360126360128</v>
      </c>
      <c r="E44" s="2">
        <f t="shared" si="15"/>
        <v>6.8041418041418042E-2</v>
      </c>
      <c r="F44" s="2">
        <f t="shared" si="15"/>
        <v>0.16153036153036154</v>
      </c>
      <c r="G44" s="2">
        <f t="shared" si="15"/>
        <v>0.1706914706914707</v>
      </c>
      <c r="H44" s="2">
        <f t="shared" si="15"/>
        <v>0</v>
      </c>
      <c r="I44" s="2">
        <f t="shared" si="15"/>
        <v>3.8539838539838542E-2</v>
      </c>
      <c r="J44" s="2">
        <f t="shared" si="15"/>
        <v>0.28074763074763076</v>
      </c>
      <c r="K44" s="2">
        <f t="shared" si="15"/>
        <v>0.19462969462969462</v>
      </c>
      <c r="L44" s="2">
        <f t="shared" si="15"/>
        <v>0.1064057564057564</v>
      </c>
      <c r="M44" s="2">
        <f t="shared" si="15"/>
        <v>6.8445068445068446E-4</v>
      </c>
      <c r="N44" s="2">
        <f t="shared" si="15"/>
        <v>0.12062127062127062</v>
      </c>
      <c r="O44" s="2">
        <f t="shared" si="15"/>
        <v>0.15875745875745875</v>
      </c>
      <c r="P44" s="2">
        <f t="shared" si="15"/>
        <v>0.33222183222183221</v>
      </c>
      <c r="Q44" s="2">
        <f t="shared" si="15"/>
        <v>0.24699894699894701</v>
      </c>
      <c r="R44" s="2">
        <f t="shared" si="15"/>
        <v>0.36602316602316604</v>
      </c>
    </row>
    <row r="45" spans="1:18">
      <c r="A45" s="3" t="s">
        <v>6</v>
      </c>
      <c r="B45" s="2">
        <f>(B39-11.299)/(52.653-11.299)</f>
        <v>0.3620072019189231</v>
      </c>
      <c r="C45" s="2">
        <f>(C39-11.299)/(52.653-11.299)</f>
        <v>0.22328283138751029</v>
      </c>
      <c r="D45" s="2">
        <f t="shared" ref="D45:R45" si="16">(D39-11.299)/(52.653-11.299)</f>
        <v>0.3979163761477636</v>
      </c>
      <c r="E45" s="2">
        <f t="shared" si="16"/>
        <v>1.000003348719458</v>
      </c>
      <c r="F45" s="2">
        <f t="shared" si="16"/>
        <v>0.21576292240061121</v>
      </c>
      <c r="G45" s="2">
        <f t="shared" si="16"/>
        <v>0.13481250366546454</v>
      </c>
      <c r="H45" s="2">
        <f t="shared" si="16"/>
        <v>0.47029457194897095</v>
      </c>
      <c r="I45" s="2">
        <f t="shared" si="16"/>
        <v>0.54389684619623191</v>
      </c>
      <c r="J45" s="2">
        <f t="shared" si="16"/>
        <v>0.64833182997669681</v>
      </c>
      <c r="K45" s="2">
        <f t="shared" si="16"/>
        <v>0.26761642708096067</v>
      </c>
      <c r="L45" s="2">
        <f t="shared" si="16"/>
        <v>0.31413042666600954</v>
      </c>
      <c r="M45" s="2">
        <f t="shared" si="16"/>
        <v>0.10076128901194356</v>
      </c>
      <c r="N45" s="2">
        <f t="shared" si="16"/>
        <v>0.49542814892539855</v>
      </c>
      <c r="O45" s="2">
        <f t="shared" si="16"/>
        <v>0.25534576602236286</v>
      </c>
      <c r="P45" s="2">
        <f t="shared" si="16"/>
        <v>6.1260297458713885E-2</v>
      </c>
      <c r="Q45" s="2">
        <f t="shared" si="16"/>
        <v>0.2167833592097925</v>
      </c>
      <c r="R45" s="2">
        <f t="shared" si="16"/>
        <v>0.29308057510566932</v>
      </c>
    </row>
    <row r="46" spans="1:18">
      <c r="A46" s="3" t="s">
        <v>3</v>
      </c>
      <c r="B46" s="2">
        <f>(B40-25.025)/(166.082-25.025)</f>
        <v>8.7401014064856813E-2</v>
      </c>
      <c r="C46" s="2">
        <f t="shared" ref="C46:R46" si="17">(C40-25.025)/(166.082-25.025)</f>
        <v>0.55880508942000984</v>
      </c>
      <c r="D46" s="2">
        <f t="shared" si="17"/>
        <v>0.29419531150025818</v>
      </c>
      <c r="E46" s="2">
        <f t="shared" si="17"/>
        <v>0.1700781577275613</v>
      </c>
      <c r="F46" s="2">
        <f t="shared" si="17"/>
        <v>6.5611785764122715E-2</v>
      </c>
      <c r="G46" s="2">
        <f t="shared" si="17"/>
        <v>0.41792913234954943</v>
      </c>
      <c r="H46" s="2">
        <f t="shared" si="17"/>
        <v>0.14612843146136911</v>
      </c>
      <c r="I46" s="2">
        <f t="shared" si="17"/>
        <v>0.14524001710420095</v>
      </c>
      <c r="J46" s="2">
        <f t="shared" si="17"/>
        <v>0.97502245485397954</v>
      </c>
      <c r="K46" s="2">
        <f t="shared" si="17"/>
        <v>0.22610047480650045</v>
      </c>
      <c r="L46" s="2">
        <f t="shared" si="17"/>
        <v>0.13717381732844838</v>
      </c>
      <c r="M46" s="2">
        <f t="shared" si="17"/>
        <v>0.28758150704705171</v>
      </c>
      <c r="N46" s="2">
        <f t="shared" si="17"/>
        <v>0.71696062773156755</v>
      </c>
      <c r="O46" s="2">
        <f t="shared" si="17"/>
        <v>0.48194257809930724</v>
      </c>
      <c r="P46" s="2">
        <f t="shared" si="17"/>
        <v>0.16102172635016332</v>
      </c>
      <c r="Q46" s="2">
        <f t="shared" si="17"/>
        <v>0.21393727226770384</v>
      </c>
      <c r="R46" s="2">
        <f t="shared" si="17"/>
        <v>9.5677135188822607E-2</v>
      </c>
    </row>
    <row r="47" spans="1:18">
      <c r="A47" s="4" t="s">
        <v>7</v>
      </c>
      <c r="B47" s="2">
        <f t="shared" ref="B47:R47" si="18">(B41-64.779)/(82.931-64.779)</f>
        <v>0.58864574487525367</v>
      </c>
      <c r="C47" s="2">
        <f t="shared" si="18"/>
        <v>0.47560572509647597</v>
      </c>
      <c r="D47" s="2">
        <f t="shared" si="18"/>
        <v>0.77036730481892801</v>
      </c>
      <c r="E47" s="2">
        <f t="shared" si="18"/>
        <v>0.45601102881897077</v>
      </c>
      <c r="F47" s="2">
        <f t="shared" si="18"/>
        <v>0.46446538176267643</v>
      </c>
      <c r="G47" s="2">
        <f t="shared" si="18"/>
        <v>0.78725048103279716</v>
      </c>
      <c r="H47" s="2">
        <f t="shared" si="18"/>
        <v>-2.418600651344945E-5</v>
      </c>
      <c r="I47" s="2">
        <f t="shared" si="18"/>
        <v>0.20339222178030514</v>
      </c>
      <c r="J47" s="2">
        <f t="shared" si="18"/>
        <v>0.49646346838082811</v>
      </c>
      <c r="K47" s="2">
        <f t="shared" si="18"/>
        <v>0.6438167130679685</v>
      </c>
      <c r="L47" s="2">
        <f t="shared" si="18"/>
        <v>0.48281584237173342</v>
      </c>
      <c r="M47" s="2">
        <f t="shared" si="18"/>
        <v>0.18986955680486825</v>
      </c>
      <c r="N47" s="2">
        <f t="shared" si="18"/>
        <v>0.49520848337615203</v>
      </c>
      <c r="O47" s="2">
        <f t="shared" si="18"/>
        <v>0.53284594051317358</v>
      </c>
      <c r="P47" s="2">
        <f t="shared" si="18"/>
        <v>0.47629099528104224</v>
      </c>
      <c r="Q47" s="2">
        <f t="shared" si="18"/>
        <v>0.62429591847703492</v>
      </c>
      <c r="R47" s="2">
        <f t="shared" si="18"/>
        <v>0.50481704629739188</v>
      </c>
    </row>
    <row r="48" spans="1:18">
      <c r="A48" s="4" t="s">
        <v>8</v>
      </c>
      <c r="B48" s="2">
        <f t="shared" ref="B48:R48" si="19">(B42-59.535)/(124.604-59.535)</f>
        <v>0.44563617083403773</v>
      </c>
      <c r="C48" s="2">
        <f t="shared" si="19"/>
        <v>0.43780909496073406</v>
      </c>
      <c r="D48" s="2">
        <f t="shared" si="19"/>
        <v>0.43624475556716713</v>
      </c>
      <c r="E48" s="2">
        <f t="shared" si="19"/>
        <v>0.31532035224146687</v>
      </c>
      <c r="F48" s="2">
        <f t="shared" si="19"/>
        <v>0.53944136224623085</v>
      </c>
      <c r="G48" s="2">
        <f t="shared" si="19"/>
        <v>0.57838709677419353</v>
      </c>
      <c r="H48" s="2">
        <f t="shared" si="19"/>
        <v>1.2294641073948702E-6</v>
      </c>
      <c r="I48" s="2">
        <f t="shared" si="19"/>
        <v>0.23855230601361641</v>
      </c>
      <c r="J48" s="2">
        <f t="shared" si="19"/>
        <v>0.13462754921698508</v>
      </c>
      <c r="K48" s="2">
        <f t="shared" si="19"/>
        <v>0.42087261215017907</v>
      </c>
      <c r="L48" s="2">
        <f t="shared" si="19"/>
        <v>0.49288985538428431</v>
      </c>
      <c r="M48" s="2">
        <f t="shared" si="19"/>
        <v>0.38862315388280144</v>
      </c>
      <c r="N48" s="2">
        <f t="shared" si="19"/>
        <v>0.25448554611258828</v>
      </c>
      <c r="O48" s="2">
        <f t="shared" si="19"/>
        <v>0.4754858688469164</v>
      </c>
      <c r="P48" s="2">
        <f t="shared" si="19"/>
        <v>0.2769725983187078</v>
      </c>
      <c r="Q48" s="2">
        <f t="shared" si="19"/>
        <v>0.47185787394919243</v>
      </c>
      <c r="R48" s="2">
        <f t="shared" si="19"/>
        <v>0.35427254145599285</v>
      </c>
    </row>
    <row r="49" spans="1:18">
      <c r="A49" s="3" t="s">
        <v>49</v>
      </c>
      <c r="B49" s="2">
        <f t="shared" ref="B49:R49" si="20">(B43+B44+B45+B46+B47+B48)/6</f>
        <v>0.32627004583670488</v>
      </c>
      <c r="C49" s="2">
        <f t="shared" si="20"/>
        <v>0.33978827907424541</v>
      </c>
      <c r="D49" s="2">
        <f t="shared" si="20"/>
        <v>0.42302710541271304</v>
      </c>
      <c r="E49" s="2">
        <f t="shared" si="20"/>
        <v>0.34575684568747955</v>
      </c>
      <c r="F49" s="2">
        <f t="shared" si="20"/>
        <v>0.25972658187974662</v>
      </c>
      <c r="G49" s="2">
        <f t="shared" si="20"/>
        <v>0.37388607802794827</v>
      </c>
      <c r="H49" s="2">
        <f t="shared" si="20"/>
        <v>0.10084139030601998</v>
      </c>
      <c r="I49" s="2">
        <f t="shared" si="20"/>
        <v>0.19622243933151065</v>
      </c>
      <c r="J49" s="2">
        <f t="shared" si="20"/>
        <v>0.45951624529698115</v>
      </c>
      <c r="K49" s="2">
        <f t="shared" si="20"/>
        <v>0.32493296044347031</v>
      </c>
      <c r="L49" s="2">
        <f t="shared" si="20"/>
        <v>0.27287949857188359</v>
      </c>
      <c r="M49" s="2">
        <f t="shared" si="20"/>
        <v>0.16125332731423725</v>
      </c>
      <c r="N49" s="2">
        <f t="shared" si="20"/>
        <v>0.36259340988171801</v>
      </c>
      <c r="O49" s="2">
        <f t="shared" si="20"/>
        <v>0.33634131773009401</v>
      </c>
      <c r="P49" s="2">
        <f t="shared" si="20"/>
        <v>0.24992882129836916</v>
      </c>
      <c r="Q49" s="2">
        <f t="shared" si="20"/>
        <v>0.32693655876228095</v>
      </c>
      <c r="R49" s="2">
        <f t="shared" si="20"/>
        <v>0.29897556861122859</v>
      </c>
    </row>
    <row r="51" spans="1:18">
      <c r="A51" s="1" t="s">
        <v>9</v>
      </c>
      <c r="B51" s="2" t="s">
        <v>28</v>
      </c>
      <c r="C51" s="2" t="s">
        <v>29</v>
      </c>
      <c r="D51" s="2" t="s">
        <v>30</v>
      </c>
      <c r="E51" s="2" t="s">
        <v>31</v>
      </c>
      <c r="F51" s="2" t="s">
        <v>32</v>
      </c>
      <c r="G51" s="2" t="s">
        <v>33</v>
      </c>
      <c r="H51" s="2" t="s">
        <v>34</v>
      </c>
      <c r="I51" s="2" t="s">
        <v>35</v>
      </c>
      <c r="J51" s="2" t="s">
        <v>36</v>
      </c>
      <c r="K51" s="2" t="s">
        <v>37</v>
      </c>
      <c r="L51" s="2" t="s">
        <v>38</v>
      </c>
      <c r="M51" s="2" t="s">
        <v>39</v>
      </c>
      <c r="N51" s="2" t="s">
        <v>40</v>
      </c>
      <c r="O51" s="2" t="s">
        <v>41</v>
      </c>
      <c r="P51" s="2" t="s">
        <v>42</v>
      </c>
      <c r="Q51" s="2" t="s">
        <v>43</v>
      </c>
      <c r="R51" s="2" t="s">
        <v>44</v>
      </c>
    </row>
    <row r="52" spans="1:18">
      <c r="B52" s="2">
        <v>2009</v>
      </c>
      <c r="C52" s="2">
        <v>2009</v>
      </c>
      <c r="D52" s="2">
        <v>2009</v>
      </c>
      <c r="E52" s="2">
        <v>2009</v>
      </c>
      <c r="F52" s="2">
        <v>2009</v>
      </c>
      <c r="G52" s="2">
        <v>2009</v>
      </c>
      <c r="H52" s="2">
        <v>2009</v>
      </c>
      <c r="I52" s="2">
        <v>2009</v>
      </c>
      <c r="J52" s="2">
        <v>2009</v>
      </c>
      <c r="K52" s="2">
        <v>2009</v>
      </c>
      <c r="L52" s="2">
        <v>2009</v>
      </c>
      <c r="M52" s="2">
        <v>2009</v>
      </c>
      <c r="N52" s="2">
        <v>2009</v>
      </c>
      <c r="O52" s="2">
        <v>2009</v>
      </c>
      <c r="P52" s="2">
        <v>2009</v>
      </c>
      <c r="Q52" s="2">
        <v>2009</v>
      </c>
      <c r="R52" s="2">
        <v>2009</v>
      </c>
    </row>
    <row r="53" spans="1:18">
      <c r="A53" s="1" t="s">
        <v>0</v>
      </c>
      <c r="B53" s="3">
        <v>34359.089320086394</v>
      </c>
      <c r="C53" s="3">
        <v>32391.289802436375</v>
      </c>
      <c r="D53" s="3">
        <v>34529.744154704771</v>
      </c>
      <c r="E53" s="3">
        <v>32017.727394598252</v>
      </c>
      <c r="F53" s="3">
        <v>30441.541330478482</v>
      </c>
      <c r="G53" s="3">
        <v>29168.36762174089</v>
      </c>
      <c r="H53" s="3">
        <v>26729.150934593417</v>
      </c>
      <c r="I53" s="3">
        <v>37198.103410425902</v>
      </c>
      <c r="J53" s="3">
        <v>29625.390080910867</v>
      </c>
      <c r="K53" s="3">
        <v>36520.082848616032</v>
      </c>
      <c r="L53" s="3">
        <v>25458.619352783426</v>
      </c>
      <c r="M53" s="3">
        <v>47134.836543817342</v>
      </c>
      <c r="N53" s="3">
        <v>27057.674207540211</v>
      </c>
      <c r="O53" s="3">
        <v>32299.679993169932</v>
      </c>
      <c r="P53" s="3">
        <v>38318.710889727758</v>
      </c>
      <c r="Q53" s="3">
        <v>32470.521291096007</v>
      </c>
      <c r="R53" s="3">
        <v>43234.451155315321</v>
      </c>
    </row>
    <row r="54" spans="1:18">
      <c r="A54" s="1" t="s">
        <v>1</v>
      </c>
      <c r="B54" s="2">
        <v>47806</v>
      </c>
      <c r="C54" s="2">
        <v>53790</v>
      </c>
      <c r="D54" s="2">
        <v>48337</v>
      </c>
      <c r="E54" s="2">
        <v>44971</v>
      </c>
      <c r="F54" s="2">
        <v>48633</v>
      </c>
      <c r="G54" s="2">
        <v>51654</v>
      </c>
      <c r="H54" s="2">
        <v>44144</v>
      </c>
      <c r="I54" s="2">
        <v>52972</v>
      </c>
      <c r="J54" s="2">
        <v>42375</v>
      </c>
      <c r="K54" s="2">
        <v>45810</v>
      </c>
      <c r="L54" s="2">
        <v>36523</v>
      </c>
      <c r="M54" s="2">
        <v>50281</v>
      </c>
      <c r="N54" s="2">
        <v>40621</v>
      </c>
      <c r="O54" s="2">
        <v>48280</v>
      </c>
      <c r="P54" s="2">
        <v>41058</v>
      </c>
      <c r="Q54" s="2">
        <v>47449</v>
      </c>
      <c r="R54" s="2">
        <v>64970</v>
      </c>
    </row>
    <row r="55" spans="1:18">
      <c r="A55" s="1" t="s">
        <v>2</v>
      </c>
      <c r="B55" s="2">
        <v>25.552119766186326</v>
      </c>
      <c r="C55" s="2">
        <v>22.538786361755637</v>
      </c>
      <c r="D55" s="2">
        <v>19.179128637625613</v>
      </c>
      <c r="E55" s="2">
        <v>20.8330179782435</v>
      </c>
      <c r="F55" s="2">
        <v>20.188836917791527</v>
      </c>
      <c r="G55" s="2">
        <v>17.122522110969989</v>
      </c>
      <c r="H55" s="2">
        <v>18.320594663317177</v>
      </c>
      <c r="I55" s="2">
        <v>31.213885028230813</v>
      </c>
      <c r="J55" s="2">
        <v>20.031765592595132</v>
      </c>
      <c r="K55" s="2">
        <v>25.392378343960154</v>
      </c>
      <c r="L55" s="2">
        <v>20.370053446912216</v>
      </c>
      <c r="M55" s="2">
        <v>33.870972532874703</v>
      </c>
      <c r="N55" s="2">
        <v>22.141194206438563</v>
      </c>
      <c r="O55" s="2">
        <v>22.975507036856968</v>
      </c>
      <c r="P55" s="2">
        <v>30.337572206439646</v>
      </c>
      <c r="Q55" s="2">
        <v>12.676488358705523</v>
      </c>
      <c r="R55" s="2">
        <v>11.298504133599073</v>
      </c>
    </row>
    <row r="56" spans="1:18">
      <c r="A56" s="1" t="s">
        <v>3</v>
      </c>
      <c r="B56" s="2">
        <v>95.62642248489567</v>
      </c>
      <c r="C56" s="2">
        <v>142.8435604515563</v>
      </c>
      <c r="D56" s="2">
        <v>59.180109680605106</v>
      </c>
      <c r="E56" s="2">
        <v>91.381435496368908</v>
      </c>
      <c r="F56" s="2">
        <v>73.057370675147112</v>
      </c>
      <c r="G56" s="2">
        <v>48.565091655711726</v>
      </c>
      <c r="H56" s="2">
        <v>48.024553892373731</v>
      </c>
      <c r="I56" s="2">
        <v>166.08198986642125</v>
      </c>
      <c r="J56" s="2">
        <v>25.024838757673695</v>
      </c>
      <c r="K56" s="2">
        <v>130.14435615410781</v>
      </c>
      <c r="L56" s="2">
        <v>54.373582584356861</v>
      </c>
      <c r="M56" s="2">
        <v>67.449914049865939</v>
      </c>
      <c r="N56" s="2">
        <v>49.697154743049062</v>
      </c>
      <c r="O56" s="2">
        <v>89.434829785658394</v>
      </c>
      <c r="P56" s="2">
        <v>89.688723373261581</v>
      </c>
      <c r="Q56" s="2">
        <v>59.130171778554683</v>
      </c>
      <c r="R56" s="2">
        <v>25.640545966053402</v>
      </c>
    </row>
    <row r="57" spans="1:18">
      <c r="A57" s="6" t="s">
        <v>27</v>
      </c>
      <c r="B57" s="2">
        <v>80.082926829268303</v>
      </c>
      <c r="C57" s="2">
        <v>79.736585365853671</v>
      </c>
      <c r="D57" s="2">
        <v>80.66178048780489</v>
      </c>
      <c r="E57" s="2">
        <v>78.597560975609767</v>
      </c>
      <c r="F57" s="2">
        <v>79.719512195121965</v>
      </c>
      <c r="G57" s="2">
        <v>81.068292682926838</v>
      </c>
      <c r="H57" s="2">
        <v>81.385365853658527</v>
      </c>
      <c r="I57" s="2">
        <v>80.038414634146349</v>
      </c>
      <c r="J57" s="2">
        <v>82.931463414634152</v>
      </c>
      <c r="K57" s="2">
        <v>80.548780487804891</v>
      </c>
      <c r="L57" s="2">
        <v>80.702439024390245</v>
      </c>
      <c r="M57" s="2">
        <v>80.795121951219514</v>
      </c>
      <c r="N57" s="2">
        <v>81.475609756097555</v>
      </c>
      <c r="O57" s="2">
        <v>81.351219512195129</v>
      </c>
      <c r="P57" s="2">
        <v>82.043902439024393</v>
      </c>
      <c r="Q57" s="2">
        <v>80.051219512195118</v>
      </c>
      <c r="R57" s="2">
        <v>78.090243902439028</v>
      </c>
    </row>
    <row r="58" spans="1:18">
      <c r="A58" s="6" t="s">
        <v>47</v>
      </c>
      <c r="B58" s="2">
        <v>99.624210000000005</v>
      </c>
      <c r="C58" s="2">
        <v>110.53265</v>
      </c>
      <c r="D58" s="2">
        <v>101.49974</v>
      </c>
      <c r="E58" s="2">
        <v>117.37025</v>
      </c>
      <c r="F58" s="2">
        <v>107.52007</v>
      </c>
      <c r="G58" s="2">
        <v>112.58736</v>
      </c>
      <c r="H58" s="2">
        <v>99.074370000000002</v>
      </c>
      <c r="I58" s="2">
        <v>117.26284</v>
      </c>
      <c r="J58" s="2">
        <v>101.53111</v>
      </c>
      <c r="K58" s="2">
        <v>120.21617000000001</v>
      </c>
      <c r="L58" s="2">
        <v>124.60413</v>
      </c>
      <c r="M58" s="2">
        <v>110.16356</v>
      </c>
      <c r="N58" s="2">
        <v>118.99171</v>
      </c>
      <c r="O58" s="2">
        <v>100.28679</v>
      </c>
      <c r="P58" s="2">
        <v>95.234120000000004</v>
      </c>
      <c r="Q58" s="2">
        <v>101.82521</v>
      </c>
      <c r="R58" s="2">
        <v>96.453739999999996</v>
      </c>
    </row>
    <row r="59" spans="1:18">
      <c r="A59" s="3" t="s">
        <v>4</v>
      </c>
      <c r="B59" s="2">
        <f t="shared" ref="B59:R59" si="21">(B53-3357.498)/(47134.84-3357.498)</f>
        <v>0.70816522666192017</v>
      </c>
      <c r="C59" s="2">
        <f t="shared" si="21"/>
        <v>0.66321504403890896</v>
      </c>
      <c r="D59" s="2">
        <f t="shared" si="21"/>
        <v>0.71206347234843026</v>
      </c>
      <c r="E59" s="2">
        <f t="shared" si="21"/>
        <v>0.65468180764830941</v>
      </c>
      <c r="F59" s="2">
        <f t="shared" si="21"/>
        <v>0.61867719905147467</v>
      </c>
      <c r="G59" s="2">
        <f t="shared" si="21"/>
        <v>0.58959426138162729</v>
      </c>
      <c r="H59" s="2">
        <f t="shared" si="21"/>
        <v>0.53387555906417117</v>
      </c>
      <c r="I59" s="2">
        <f t="shared" si="21"/>
        <v>0.77301644787903989</v>
      </c>
      <c r="J59" s="2">
        <f t="shared" si="21"/>
        <v>0.60003396462286063</v>
      </c>
      <c r="K59" s="2">
        <f t="shared" si="21"/>
        <v>0.75752851437659319</v>
      </c>
      <c r="L59" s="2">
        <f t="shared" si="21"/>
        <v>0.50485297514827254</v>
      </c>
      <c r="M59" s="2">
        <f t="shared" si="21"/>
        <v>0.99999992105087943</v>
      </c>
      <c r="N59" s="2">
        <f t="shared" si="21"/>
        <v>0.54137997248759906</v>
      </c>
      <c r="O59" s="2">
        <f t="shared" si="21"/>
        <v>0.66112241335186439</v>
      </c>
      <c r="P59" s="2">
        <f t="shared" si="21"/>
        <v>0.79861433546439986</v>
      </c>
      <c r="Q59" s="2">
        <f t="shared" si="21"/>
        <v>0.66502491839490874</v>
      </c>
      <c r="R59" s="2">
        <f t="shared" si="21"/>
        <v>0.9109039364545094</v>
      </c>
    </row>
    <row r="60" spans="1:18">
      <c r="A60" s="3" t="s">
        <v>5</v>
      </c>
      <c r="B60" s="2">
        <f>(B54-7990)/(52653-7990)</f>
        <v>0.89147616595392154</v>
      </c>
      <c r="C60" s="2">
        <f t="shared" ref="C60:R60" si="22">(C54-7990)/(64970-7990)</f>
        <v>0.80379080379080381</v>
      </c>
      <c r="D60" s="2">
        <f t="shared" si="22"/>
        <v>0.7080905580905581</v>
      </c>
      <c r="E60" s="2">
        <f t="shared" si="22"/>
        <v>0.64901719901719901</v>
      </c>
      <c r="F60" s="2">
        <f t="shared" si="22"/>
        <v>0.71328536328536329</v>
      </c>
      <c r="G60" s="2">
        <f t="shared" si="22"/>
        <v>0.76630396630396636</v>
      </c>
      <c r="H60" s="2">
        <f t="shared" si="22"/>
        <v>0.63450333450333452</v>
      </c>
      <c r="I60" s="2">
        <f t="shared" si="22"/>
        <v>0.78943488943488949</v>
      </c>
      <c r="J60" s="2">
        <f t="shared" si="22"/>
        <v>0.60345735345735341</v>
      </c>
      <c r="K60" s="2">
        <f t="shared" si="22"/>
        <v>0.66374166374166377</v>
      </c>
      <c r="L60" s="2">
        <f t="shared" si="22"/>
        <v>0.50075465075465075</v>
      </c>
      <c r="M60" s="2">
        <f t="shared" si="22"/>
        <v>0.74220779220779221</v>
      </c>
      <c r="N60" s="2">
        <f t="shared" si="22"/>
        <v>0.57267462267462266</v>
      </c>
      <c r="O60" s="2">
        <f t="shared" si="22"/>
        <v>0.70709020709020709</v>
      </c>
      <c r="P60" s="2">
        <f t="shared" si="22"/>
        <v>0.58034398034398038</v>
      </c>
      <c r="Q60" s="2">
        <f t="shared" si="22"/>
        <v>0.69250614250614251</v>
      </c>
      <c r="R60" s="2">
        <f t="shared" si="22"/>
        <v>1</v>
      </c>
    </row>
    <row r="61" spans="1:18">
      <c r="A61" s="3" t="s">
        <v>6</v>
      </c>
      <c r="B61" s="2">
        <f>(B55-11.299)/(52.653-11.299)</f>
        <v>0.34466121212425221</v>
      </c>
      <c r="C61" s="2">
        <f t="shared" ref="C61:R61" si="23">(C55-11.299)/(52.653-11.299)</f>
        <v>0.27179441799476806</v>
      </c>
      <c r="D61" s="2">
        <f t="shared" si="23"/>
        <v>0.19055299699244604</v>
      </c>
      <c r="E61" s="2">
        <f t="shared" si="23"/>
        <v>0.23054645205405766</v>
      </c>
      <c r="F61" s="2">
        <f t="shared" si="23"/>
        <v>0.21496921501648031</v>
      </c>
      <c r="G61" s="2">
        <f t="shared" si="23"/>
        <v>0.14082125334840617</v>
      </c>
      <c r="H61" s="2">
        <f t="shared" si="23"/>
        <v>0.16979239404452237</v>
      </c>
      <c r="I61" s="2">
        <f t="shared" si="23"/>
        <v>0.4815709490794316</v>
      </c>
      <c r="J61" s="2">
        <f t="shared" si="23"/>
        <v>0.21117100141691572</v>
      </c>
      <c r="K61" s="2">
        <f t="shared" si="23"/>
        <v>0.3407984316864186</v>
      </c>
      <c r="L61" s="2">
        <f t="shared" si="23"/>
        <v>0.21935129484239049</v>
      </c>
      <c r="M61" s="2">
        <f t="shared" si="23"/>
        <v>0.54582319806728985</v>
      </c>
      <c r="N61" s="2">
        <f t="shared" si="23"/>
        <v>0.26218006012570882</v>
      </c>
      <c r="O61" s="2">
        <f t="shared" si="23"/>
        <v>0.28235496050822095</v>
      </c>
      <c r="P61" s="2">
        <f t="shared" si="23"/>
        <v>0.46038042768389142</v>
      </c>
      <c r="Q61" s="2">
        <f t="shared" si="23"/>
        <v>3.3309676420794208E-2</v>
      </c>
      <c r="R61" s="2">
        <f t="shared" si="23"/>
        <v>-1.1990772378171743E-5</v>
      </c>
    </row>
    <row r="62" spans="1:18">
      <c r="A62" s="3" t="s">
        <v>3</v>
      </c>
      <c r="B62" s="2">
        <f>(B56-25.025)/(166.082-25.025)</f>
        <v>0.50051697175535892</v>
      </c>
      <c r="C62" s="2">
        <f t="shared" ref="C62:R62" si="24">(C56-25.025)/(166.082-25.025)</f>
        <v>0.83525497105110913</v>
      </c>
      <c r="D62" s="2">
        <f t="shared" si="24"/>
        <v>0.24213693528577179</v>
      </c>
      <c r="E62" s="2">
        <f t="shared" si="24"/>
        <v>0.47042284676668938</v>
      </c>
      <c r="F62" s="2">
        <f t="shared" si="24"/>
        <v>0.34051745517873711</v>
      </c>
      <c r="G62" s="2">
        <f t="shared" si="24"/>
        <v>0.16688354109127324</v>
      </c>
      <c r="H62" s="2">
        <f t="shared" si="24"/>
        <v>0.16305148906026454</v>
      </c>
      <c r="I62" s="2">
        <f t="shared" si="24"/>
        <v>0.99999992815968908</v>
      </c>
      <c r="J62" s="2">
        <f t="shared" si="24"/>
        <v>-1.1431004934411167E-6</v>
      </c>
      <c r="K62" s="2">
        <f t="shared" si="24"/>
        <v>0.74522608700105497</v>
      </c>
      <c r="L62" s="2">
        <f t="shared" si="24"/>
        <v>0.20806186565967563</v>
      </c>
      <c r="M62" s="2">
        <f t="shared" si="24"/>
        <v>0.30076432966719796</v>
      </c>
      <c r="N62" s="2">
        <f t="shared" si="24"/>
        <v>0.17490911293341746</v>
      </c>
      <c r="O62" s="2">
        <f t="shared" si="24"/>
        <v>0.45662271128450482</v>
      </c>
      <c r="P62" s="2">
        <f t="shared" si="24"/>
        <v>0.45842264739262556</v>
      </c>
      <c r="Q62" s="2">
        <f t="shared" si="24"/>
        <v>0.24178290888473941</v>
      </c>
      <c r="R62" s="2">
        <f t="shared" si="24"/>
        <v>4.3638101338707297E-3</v>
      </c>
    </row>
    <row r="63" spans="1:18">
      <c r="A63" s="3" t="s">
        <v>7</v>
      </c>
      <c r="B63" s="2">
        <f>(B57-64.779)/(82.931-64.779)</f>
        <v>0.84309865740790579</v>
      </c>
      <c r="C63" s="2">
        <f t="shared" ref="C63:R63" si="25">(C57-64.779)/(82.931-64.779)</f>
        <v>0.82401858560233987</v>
      </c>
      <c r="D63" s="2">
        <f t="shared" si="25"/>
        <v>0.87498790699674378</v>
      </c>
      <c r="E63" s="2">
        <f t="shared" si="25"/>
        <v>0.76126933536854169</v>
      </c>
      <c r="F63" s="2">
        <f t="shared" si="25"/>
        <v>0.82307801868234731</v>
      </c>
      <c r="G63" s="2">
        <f t="shared" si="25"/>
        <v>0.89738280536176951</v>
      </c>
      <c r="H63" s="2">
        <f t="shared" si="25"/>
        <v>0.91485047673306141</v>
      </c>
      <c r="I63" s="2">
        <f t="shared" si="25"/>
        <v>0.84064646508078189</v>
      </c>
      <c r="J63" s="2">
        <f t="shared" si="25"/>
        <v>1.0000255296735432</v>
      </c>
      <c r="K63" s="2">
        <f t="shared" si="25"/>
        <v>0.86876269765342073</v>
      </c>
      <c r="L63" s="2">
        <f t="shared" si="25"/>
        <v>0.87722779993335431</v>
      </c>
      <c r="M63" s="2">
        <f t="shared" si="25"/>
        <v>0.88233373464188614</v>
      </c>
      <c r="N63" s="2">
        <f t="shared" si="25"/>
        <v>0.91982204473873719</v>
      </c>
      <c r="O63" s="2">
        <f t="shared" si="25"/>
        <v>0.91296934289307696</v>
      </c>
      <c r="P63" s="2">
        <f t="shared" si="25"/>
        <v>0.9511294865042087</v>
      </c>
      <c r="Q63" s="2">
        <f t="shared" si="25"/>
        <v>0.84135189027077573</v>
      </c>
      <c r="R63" s="2">
        <f t="shared" si="25"/>
        <v>0.73332106117447282</v>
      </c>
    </row>
    <row r="64" spans="1:18">
      <c r="A64" s="4" t="s">
        <v>8</v>
      </c>
      <c r="B64" s="2">
        <f>(B58-59.535)/(124.604-59.535)</f>
        <v>0.61610305982879721</v>
      </c>
      <c r="C64" s="2">
        <f t="shared" ref="C64:R64" si="26">(C58-59.535)/(124.604-59.535)</f>
        <v>0.78374725291613523</v>
      </c>
      <c r="D64" s="2">
        <f t="shared" si="26"/>
        <v>0.64492677004410714</v>
      </c>
      <c r="E64" s="2">
        <f t="shared" si="26"/>
        <v>0.88882955016981968</v>
      </c>
      <c r="F64" s="2">
        <f t="shared" si="26"/>
        <v>0.73744901566029919</v>
      </c>
      <c r="G64" s="2">
        <f t="shared" si="26"/>
        <v>0.81532465536584253</v>
      </c>
      <c r="H64" s="2">
        <f t="shared" si="26"/>
        <v>0.60765295301910283</v>
      </c>
      <c r="I64" s="2">
        <f t="shared" si="26"/>
        <v>0.88717884092271282</v>
      </c>
      <c r="J64" s="2">
        <f t="shared" si="26"/>
        <v>0.64540887365719468</v>
      </c>
      <c r="K64" s="2">
        <f t="shared" si="26"/>
        <v>0.93256650632405613</v>
      </c>
      <c r="L64" s="2">
        <f t="shared" si="26"/>
        <v>1.0000019978791743</v>
      </c>
      <c r="M64" s="2">
        <f t="shared" si="26"/>
        <v>0.7780749665739447</v>
      </c>
      <c r="N64" s="2">
        <f t="shared" si="26"/>
        <v>0.91374863606325596</v>
      </c>
      <c r="O64" s="2">
        <f t="shared" si="26"/>
        <v>0.62628578893174935</v>
      </c>
      <c r="P64" s="2">
        <f t="shared" si="26"/>
        <v>0.5486348337918211</v>
      </c>
      <c r="Q64" s="2">
        <f t="shared" si="26"/>
        <v>0.64992869108177476</v>
      </c>
      <c r="R64" s="2">
        <f t="shared" si="26"/>
        <v>0.56737832147412748</v>
      </c>
    </row>
    <row r="65" spans="1:18">
      <c r="A65" s="4" t="s">
        <v>49</v>
      </c>
      <c r="B65" s="2">
        <f>(B59+B60+B61+B62+B63+B64)/6</f>
        <v>0.65067021562202598</v>
      </c>
      <c r="C65" s="2">
        <f t="shared" ref="C65:R65" si="27">(C59+C60+C61+C62+C63+C64)/6</f>
        <v>0.69697017923234406</v>
      </c>
      <c r="D65" s="2">
        <f t="shared" si="27"/>
        <v>0.56212643995967615</v>
      </c>
      <c r="E65" s="2">
        <f t="shared" si="27"/>
        <v>0.60912786517076956</v>
      </c>
      <c r="F65" s="2">
        <f t="shared" si="27"/>
        <v>0.5746627111457836</v>
      </c>
      <c r="G65" s="2">
        <f t="shared" si="27"/>
        <v>0.56271841380881416</v>
      </c>
      <c r="H65" s="2">
        <f t="shared" si="27"/>
        <v>0.50395436773740954</v>
      </c>
      <c r="I65" s="2">
        <f t="shared" si="27"/>
        <v>0.79530792009275741</v>
      </c>
      <c r="J65" s="2">
        <f t="shared" si="27"/>
        <v>0.51001592995456246</v>
      </c>
      <c r="K65" s="2">
        <f t="shared" si="27"/>
        <v>0.71810398346386783</v>
      </c>
      <c r="L65" s="2">
        <f t="shared" si="27"/>
        <v>0.55170843070291964</v>
      </c>
      <c r="M65" s="2">
        <f t="shared" si="27"/>
        <v>0.7082006570348317</v>
      </c>
      <c r="N65" s="2">
        <f t="shared" si="27"/>
        <v>0.56411907483722346</v>
      </c>
      <c r="O65" s="2">
        <f t="shared" si="27"/>
        <v>0.6077409040099373</v>
      </c>
      <c r="P65" s="2">
        <f t="shared" si="27"/>
        <v>0.63292095186348785</v>
      </c>
      <c r="Q65" s="2">
        <f t="shared" si="27"/>
        <v>0.5206507045931893</v>
      </c>
      <c r="R65" s="2">
        <f t="shared" si="27"/>
        <v>0.53599252307743372</v>
      </c>
    </row>
    <row r="68" spans="1:18">
      <c r="A68" s="1" t="s">
        <v>9</v>
      </c>
      <c r="B68" s="2" t="s">
        <v>10</v>
      </c>
      <c r="C68" s="2" t="s">
        <v>11</v>
      </c>
      <c r="D68" s="2" t="s">
        <v>12</v>
      </c>
      <c r="E68" s="2" t="s">
        <v>13</v>
      </c>
      <c r="F68" s="2" t="s">
        <v>14</v>
      </c>
      <c r="G68" s="2" t="s">
        <v>15</v>
      </c>
      <c r="H68" s="2" t="s">
        <v>16</v>
      </c>
      <c r="I68" s="2" t="s">
        <v>17</v>
      </c>
      <c r="J68" s="2" t="s">
        <v>18</v>
      </c>
      <c r="K68" s="2" t="s">
        <v>19</v>
      </c>
      <c r="L68" s="2" t="s">
        <v>20</v>
      </c>
      <c r="M68" s="2" t="s">
        <v>21</v>
      </c>
      <c r="N68" s="2" t="s">
        <v>22</v>
      </c>
      <c r="O68" s="2" t="s">
        <v>23</v>
      </c>
      <c r="P68" s="2" t="s">
        <v>24</v>
      </c>
      <c r="Q68" s="2" t="s">
        <v>25</v>
      </c>
      <c r="R68" s="2" t="s">
        <v>26</v>
      </c>
    </row>
    <row r="69" spans="1:18">
      <c r="B69" s="2">
        <v>2008</v>
      </c>
      <c r="C69" s="2">
        <v>2008</v>
      </c>
      <c r="D69" s="2">
        <v>2008</v>
      </c>
      <c r="E69" s="2">
        <v>2008</v>
      </c>
      <c r="F69" s="2">
        <v>2008</v>
      </c>
      <c r="G69" s="2">
        <v>2008</v>
      </c>
      <c r="H69" s="2">
        <v>2008</v>
      </c>
      <c r="I69" s="2">
        <v>2008</v>
      </c>
      <c r="J69" s="2">
        <v>2008</v>
      </c>
      <c r="K69" s="2">
        <v>2008</v>
      </c>
      <c r="L69" s="2">
        <v>2008</v>
      </c>
      <c r="M69" s="2">
        <v>2008</v>
      </c>
      <c r="N69" s="2">
        <v>2008</v>
      </c>
      <c r="O69" s="2">
        <v>2008</v>
      </c>
      <c r="P69" s="2">
        <v>2008</v>
      </c>
      <c r="Q69" s="2">
        <v>2008</v>
      </c>
      <c r="R69" s="2">
        <v>2008</v>
      </c>
    </row>
    <row r="70" spans="1:18">
      <c r="A70" s="1" t="s">
        <v>0</v>
      </c>
      <c r="B70" s="3">
        <v>11014.386702100101</v>
      </c>
      <c r="C70" s="3">
        <v>11985.192580224917</v>
      </c>
      <c r="D70" s="3">
        <v>14061.396797332065</v>
      </c>
      <c r="E70" s="3">
        <v>5712.2456196384073</v>
      </c>
      <c r="F70" s="3">
        <v>8223.4867677950242</v>
      </c>
      <c r="G70" s="3">
        <v>10368.54433937348</v>
      </c>
      <c r="H70" s="3">
        <v>2671.6841616999122</v>
      </c>
      <c r="I70" s="3">
        <v>3580.5936836097544</v>
      </c>
      <c r="J70" s="3">
        <v>13510.022161239638</v>
      </c>
      <c r="K70" s="3">
        <v>12711.290010898745</v>
      </c>
      <c r="L70" s="3">
        <v>7916.4839918992466</v>
      </c>
      <c r="M70" s="3">
        <v>3375.0316521496857</v>
      </c>
      <c r="N70" s="3">
        <v>7610.1249901074389</v>
      </c>
      <c r="O70" s="3">
        <v>8173.7239179693624</v>
      </c>
      <c r="P70" s="3">
        <v>12504.271124799901</v>
      </c>
      <c r="Q70" s="3">
        <v>11361.269884445006</v>
      </c>
      <c r="R70" s="3">
        <v>11799.42924549517</v>
      </c>
    </row>
    <row r="71" spans="1:18">
      <c r="A71" s="1" t="s">
        <v>1</v>
      </c>
      <c r="B71" s="2">
        <v>26595</v>
      </c>
      <c r="C71" s="2">
        <v>17617</v>
      </c>
      <c r="D71" s="2">
        <v>30717</v>
      </c>
      <c r="E71" s="2">
        <v>10904</v>
      </c>
      <c r="F71" s="2">
        <v>17426</v>
      </c>
      <c r="G71" s="2">
        <v>18087</v>
      </c>
      <c r="H71" s="2">
        <v>7521</v>
      </c>
      <c r="I71" s="2">
        <v>9960</v>
      </c>
      <c r="J71" s="2">
        <v>24929</v>
      </c>
      <c r="K71" s="2">
        <v>20058</v>
      </c>
      <c r="L71" s="2">
        <v>14271</v>
      </c>
      <c r="M71" s="2">
        <v>8164</v>
      </c>
      <c r="N71" s="2">
        <v>15501</v>
      </c>
      <c r="O71" s="2">
        <v>16744</v>
      </c>
      <c r="P71" s="2">
        <v>28394</v>
      </c>
      <c r="Q71" s="2">
        <v>23039</v>
      </c>
      <c r="R71" s="2">
        <v>30831</v>
      </c>
    </row>
    <row r="72" spans="1:18">
      <c r="A72" s="1" t="s">
        <v>2</v>
      </c>
      <c r="B72" s="2">
        <v>27.110761444846688</v>
      </c>
      <c r="C72" s="2">
        <v>17.027052055146637</v>
      </c>
      <c r="D72" s="2">
        <v>27.931058863502717</v>
      </c>
      <c r="E72" s="2">
        <v>51.761514861988424</v>
      </c>
      <c r="F72" s="2">
        <v>21.014107859617113</v>
      </c>
      <c r="G72" s="2">
        <v>17.822764053493557</v>
      </c>
      <c r="H72" s="2">
        <v>30.45841194770539</v>
      </c>
      <c r="I72" s="2">
        <v>28.871413283308968</v>
      </c>
      <c r="J72" s="2">
        <v>43.789580595053174</v>
      </c>
      <c r="K72" s="2">
        <v>24.707281880206267</v>
      </c>
      <c r="L72" s="2">
        <v>27.046890666220573</v>
      </c>
      <c r="M72" s="2">
        <v>16.829872817081252</v>
      </c>
      <c r="N72" s="2">
        <v>31.68723939938765</v>
      </c>
      <c r="O72" s="2">
        <v>22.891544476674795</v>
      </c>
      <c r="P72" s="2">
        <v>17.349075093981018</v>
      </c>
      <c r="Q72" s="2">
        <v>18.406047524713198</v>
      </c>
      <c r="R72" s="2">
        <v>36.640451510025031</v>
      </c>
    </row>
    <row r="73" spans="1:18">
      <c r="A73" s="1" t="s">
        <v>3</v>
      </c>
      <c r="B73" s="2">
        <v>45.125838526459255</v>
      </c>
      <c r="C73" s="2">
        <v>136.94945024268767</v>
      </c>
      <c r="D73" s="2">
        <v>81.04138126986112</v>
      </c>
      <c r="E73" s="2">
        <v>62.243774928778059</v>
      </c>
      <c r="F73" s="2">
        <v>38.052061397205087</v>
      </c>
      <c r="G73" s="2">
        <v>100.62673280987416</v>
      </c>
      <c r="H73" s="2">
        <v>52.269485249074464</v>
      </c>
      <c r="I73" s="2">
        <v>58.561399631296005</v>
      </c>
      <c r="J73" s="2">
        <v>176.6686841189275</v>
      </c>
      <c r="K73" s="2">
        <v>58.328669525158141</v>
      </c>
      <c r="L73" s="2">
        <v>54.319546641533343</v>
      </c>
      <c r="M73" s="2">
        <v>76.282266566757912</v>
      </c>
      <c r="N73" s="2">
        <v>150.32606256110645</v>
      </c>
      <c r="O73" s="2">
        <v>114.29568651847137</v>
      </c>
      <c r="P73" s="2">
        <v>52.248595300749457</v>
      </c>
      <c r="Q73" s="2">
        <v>65.208095007457914</v>
      </c>
      <c r="R73" s="2">
        <v>51.82901237899317</v>
      </c>
    </row>
    <row r="74" spans="1:18">
      <c r="A74" s="6" t="s">
        <v>27</v>
      </c>
      <c r="B74" s="5">
        <v>75.292536585365866</v>
      </c>
      <c r="C74" s="5">
        <v>72.963414634146346</v>
      </c>
      <c r="D74" s="5">
        <v>78.647219512195136</v>
      </c>
      <c r="E74" s="5">
        <v>72.835341463414636</v>
      </c>
      <c r="F74" s="5">
        <v>72.984341463414651</v>
      </c>
      <c r="G74" s="5">
        <v>78.946268292682944</v>
      </c>
      <c r="H74" s="5">
        <v>64.4229512195122</v>
      </c>
      <c r="I74" s="5">
        <v>68.075146341463423</v>
      </c>
      <c r="J74" s="5">
        <v>73.568121951219538</v>
      </c>
      <c r="K74" s="5">
        <v>76.236341463414647</v>
      </c>
      <c r="L74" s="5">
        <v>73.305707317073185</v>
      </c>
      <c r="M74" s="5">
        <v>67.988926829268308</v>
      </c>
      <c r="N74" s="5">
        <v>73.613268292682932</v>
      </c>
      <c r="O74" s="5">
        <v>74.302439024390253</v>
      </c>
      <c r="P74" s="5">
        <v>73.129634146341473</v>
      </c>
      <c r="Q74" s="5">
        <v>75.980731707317076</v>
      </c>
      <c r="R74" s="5">
        <v>73.757560975609763</v>
      </c>
    </row>
    <row r="75" spans="1:18">
      <c r="A75" s="6" t="s">
        <v>48</v>
      </c>
      <c r="B75" s="5">
        <v>85.843609999999998</v>
      </c>
      <c r="C75" s="5">
        <v>89.172120000000007</v>
      </c>
      <c r="D75" s="5">
        <v>89.867869999999996</v>
      </c>
      <c r="E75" s="5">
        <v>78.490520000000004</v>
      </c>
      <c r="F75" s="5">
        <v>90.519170000000003</v>
      </c>
      <c r="G75" s="5">
        <v>90.649259999999998</v>
      </c>
      <c r="H75" s="5">
        <v>60.162100000000002</v>
      </c>
      <c r="I75" s="5">
        <v>70.184030000000007</v>
      </c>
      <c r="J75" s="5">
        <v>69.058139999999995</v>
      </c>
      <c r="K75" s="5">
        <v>86.821449999999999</v>
      </c>
      <c r="L75" s="5">
        <v>89.834239999999994</v>
      </c>
      <c r="M75" s="5">
        <v>82.715500000000006</v>
      </c>
      <c r="N75" s="5">
        <v>74.976839999999996</v>
      </c>
      <c r="O75" s="5">
        <v>92.135580000000004</v>
      </c>
      <c r="P75" s="5">
        <v>85.478009999999998</v>
      </c>
      <c r="Q75" s="5">
        <v>87.868210000000005</v>
      </c>
      <c r="R75" s="5">
        <v>81.644909999999996</v>
      </c>
    </row>
    <row r="76" spans="1:18">
      <c r="A76" s="3" t="s">
        <v>4</v>
      </c>
      <c r="B76" s="2">
        <f>(B70-3375.032)/(48526.38-3375.031)</f>
        <v>0.16919438447121704</v>
      </c>
      <c r="C76" s="2">
        <f t="shared" ref="C76:R76" si="28">(C70-3375.032)/(48526.38-3375.031)</f>
        <v>0.19069553337653142</v>
      </c>
      <c r="D76" s="2">
        <f t="shared" si="28"/>
        <v>0.2366787490077443</v>
      </c>
      <c r="E76" s="2">
        <f t="shared" si="28"/>
        <v>5.1763982060389992E-2</v>
      </c>
      <c r="F76" s="2">
        <f t="shared" si="28"/>
        <v>0.1073822792713242</v>
      </c>
      <c r="G76" s="2">
        <f t="shared" si="28"/>
        <v>0.15489044057960441</v>
      </c>
      <c r="H76" s="2">
        <f t="shared" si="28"/>
        <v>-1.5577559782324288E-2</v>
      </c>
      <c r="I76" s="2">
        <f t="shared" si="28"/>
        <v>4.5527251823584336E-3</v>
      </c>
      <c r="J76" s="2">
        <f t="shared" si="28"/>
        <v>0.22446705105620743</v>
      </c>
      <c r="K76" s="2">
        <f t="shared" si="28"/>
        <v>0.20677694504540156</v>
      </c>
      <c r="L76" s="2">
        <f t="shared" si="28"/>
        <v>0.10058286391175703</v>
      </c>
      <c r="M76" s="2">
        <f t="shared" si="28"/>
        <v>-7.704095717790552E-9</v>
      </c>
      <c r="N76" s="2">
        <f t="shared" si="28"/>
        <v>9.3797706688839771E-2</v>
      </c>
      <c r="O76" s="2">
        <f t="shared" si="28"/>
        <v>0.10628014498457981</v>
      </c>
      <c r="P76" s="2">
        <f t="shared" si="28"/>
        <v>0.20219194613210564</v>
      </c>
      <c r="Q76" s="2">
        <f t="shared" si="28"/>
        <v>0.17687706040510565</v>
      </c>
      <c r="R76" s="2">
        <f t="shared" si="28"/>
        <v>0.18658129672925541</v>
      </c>
    </row>
    <row r="77" spans="1:18">
      <c r="A77" s="3" t="s">
        <v>5</v>
      </c>
      <c r="B77" s="2">
        <f t="shared" ref="B77:R77" si="29">(B71-7521)/(64812-7521)</f>
        <v>0.33293187411635333</v>
      </c>
      <c r="C77" s="2">
        <f t="shared" si="29"/>
        <v>0.17622314150564661</v>
      </c>
      <c r="D77" s="2">
        <f t="shared" si="29"/>
        <v>0.40488034769859138</v>
      </c>
      <c r="E77" s="2">
        <f t="shared" si="29"/>
        <v>5.9049414393185666E-2</v>
      </c>
      <c r="F77" s="2">
        <f t="shared" si="29"/>
        <v>0.17288928452985636</v>
      </c>
      <c r="G77" s="2">
        <f t="shared" si="29"/>
        <v>0.18442687333088967</v>
      </c>
      <c r="H77" s="2">
        <f t="shared" si="29"/>
        <v>0</v>
      </c>
      <c r="I77" s="2">
        <f t="shared" si="29"/>
        <v>4.2572131748442162E-2</v>
      </c>
      <c r="J77" s="2">
        <f t="shared" si="29"/>
        <v>0.30385226300815138</v>
      </c>
      <c r="K77" s="2">
        <f t="shared" si="29"/>
        <v>0.21883018275121746</v>
      </c>
      <c r="L77" s="2">
        <f t="shared" si="29"/>
        <v>0.11781955280934178</v>
      </c>
      <c r="M77" s="2">
        <f t="shared" si="29"/>
        <v>1.1223403326875077E-2</v>
      </c>
      <c r="N77" s="2">
        <f t="shared" si="29"/>
        <v>0.1392888935434885</v>
      </c>
      <c r="O77" s="2">
        <f t="shared" si="29"/>
        <v>0.16098514600897174</v>
      </c>
      <c r="P77" s="2">
        <f t="shared" si="29"/>
        <v>0.36433296678361349</v>
      </c>
      <c r="Q77" s="2">
        <f t="shared" si="29"/>
        <v>0.27086278822153564</v>
      </c>
      <c r="R77" s="2">
        <f t="shared" si="29"/>
        <v>0.40687018903492694</v>
      </c>
    </row>
    <row r="78" spans="1:18">
      <c r="A78" s="3" t="s">
        <v>6</v>
      </c>
      <c r="B78" s="2">
        <f>(B72-12.546)/(51.763-12.546)</f>
        <v>0.37138897531291759</v>
      </c>
      <c r="C78" s="2">
        <f t="shared" ref="C78:R78" si="30">(C72-12.546)/(51.763-12.546)</f>
        <v>0.1142629995957528</v>
      </c>
      <c r="D78" s="2">
        <f t="shared" si="30"/>
        <v>0.39230585877305041</v>
      </c>
      <c r="E78" s="2">
        <f t="shared" si="30"/>
        <v>0.99996213024934155</v>
      </c>
      <c r="F78" s="2">
        <f t="shared" si="30"/>
        <v>0.21592951678142422</v>
      </c>
      <c r="G78" s="2">
        <f t="shared" si="30"/>
        <v>0.13455297583939513</v>
      </c>
      <c r="H78" s="2">
        <f t="shared" si="30"/>
        <v>0.45675120350117016</v>
      </c>
      <c r="I78" s="2">
        <f t="shared" si="30"/>
        <v>0.41628409320725629</v>
      </c>
      <c r="J78" s="2">
        <f t="shared" si="30"/>
        <v>0.79668461623921194</v>
      </c>
      <c r="K78" s="2">
        <f t="shared" si="30"/>
        <v>0.31010229951822599</v>
      </c>
      <c r="L78" s="2">
        <f t="shared" si="30"/>
        <v>0.36976032501773654</v>
      </c>
      <c r="M78" s="2">
        <f t="shared" si="30"/>
        <v>0.10923509745980706</v>
      </c>
      <c r="N78" s="2">
        <f t="shared" si="30"/>
        <v>0.48808525382838186</v>
      </c>
      <c r="O78" s="2">
        <f t="shared" si="30"/>
        <v>0.26380254676989051</v>
      </c>
      <c r="P78" s="2">
        <f t="shared" si="30"/>
        <v>0.12247431200706374</v>
      </c>
      <c r="Q78" s="2">
        <f t="shared" si="30"/>
        <v>0.14942620610228216</v>
      </c>
      <c r="R78" s="2">
        <f t="shared" si="30"/>
        <v>0.61438793150993276</v>
      </c>
    </row>
    <row r="79" spans="1:18">
      <c r="A79" s="3" t="s">
        <v>3</v>
      </c>
      <c r="B79" s="2">
        <f>(B73-30.967)/(176.669-30.967)</f>
        <v>9.7176693020406421E-2</v>
      </c>
      <c r="C79" s="2">
        <f t="shared" ref="C79:R79" si="31">(C73-30.967)/(176.669-30.967)</f>
        <v>0.72739186999964089</v>
      </c>
      <c r="D79" s="2">
        <f t="shared" si="31"/>
        <v>0.34367669125929035</v>
      </c>
      <c r="E79" s="2">
        <f t="shared" si="31"/>
        <v>0.21466263283124501</v>
      </c>
      <c r="F79" s="2">
        <f t="shared" si="31"/>
        <v>4.8627070302432969E-2</v>
      </c>
      <c r="G79" s="2">
        <f t="shared" si="31"/>
        <v>0.47809730003619827</v>
      </c>
      <c r="H79" s="2">
        <f t="shared" si="31"/>
        <v>0.14620585337932537</v>
      </c>
      <c r="I79" s="2">
        <f t="shared" si="31"/>
        <v>0.18938929892037176</v>
      </c>
      <c r="J79" s="2">
        <f t="shared" si="31"/>
        <v>0.99999783200592662</v>
      </c>
      <c r="K79" s="2">
        <f t="shared" si="31"/>
        <v>0.18779199685081976</v>
      </c>
      <c r="L79" s="2">
        <f t="shared" si="31"/>
        <v>0.1602760884650406</v>
      </c>
      <c r="M79" s="2">
        <f t="shared" si="31"/>
        <v>0.31101334619125276</v>
      </c>
      <c r="N79" s="2">
        <f t="shared" si="31"/>
        <v>0.81919989129254545</v>
      </c>
      <c r="O79" s="2">
        <f t="shared" si="31"/>
        <v>0.57191175494139668</v>
      </c>
      <c r="P79" s="2">
        <f t="shared" si="31"/>
        <v>0.14606247890042318</v>
      </c>
      <c r="Q79" s="2">
        <f t="shared" si="31"/>
        <v>0.23500772129042782</v>
      </c>
      <c r="R79" s="2">
        <f t="shared" si="31"/>
        <v>0.14318274545986445</v>
      </c>
    </row>
    <row r="80" spans="1:18">
      <c r="A80" s="4" t="s">
        <v>7</v>
      </c>
      <c r="B80" s="2">
        <f t="shared" ref="B80:R80" si="32">(B74-64.423)/(82.588-64.423)</f>
        <v>0.59837801185608963</v>
      </c>
      <c r="C80" s="2">
        <f t="shared" si="32"/>
        <v>0.47015770075124408</v>
      </c>
      <c r="D80" s="2">
        <f t="shared" si="32"/>
        <v>0.78305640034104818</v>
      </c>
      <c r="E80" s="2">
        <f t="shared" si="32"/>
        <v>0.46310715460581547</v>
      </c>
      <c r="F80" s="2">
        <f t="shared" si="32"/>
        <v>0.47130974199915515</v>
      </c>
      <c r="G80" s="2">
        <f t="shared" si="32"/>
        <v>0.79951931146066335</v>
      </c>
      <c r="H80" s="2">
        <f t="shared" si="32"/>
        <v>-2.6854108341311057E-6</v>
      </c>
      <c r="I80" s="2">
        <f t="shared" si="32"/>
        <v>0.20105402375245929</v>
      </c>
      <c r="J80" s="2">
        <f t="shared" si="32"/>
        <v>0.50344739615852141</v>
      </c>
      <c r="K80" s="2">
        <f t="shared" si="32"/>
        <v>0.65033534067793286</v>
      </c>
      <c r="L80" s="2">
        <f t="shared" si="32"/>
        <v>0.48900122857545764</v>
      </c>
      <c r="M80" s="2">
        <f t="shared" si="32"/>
        <v>0.19630756010285208</v>
      </c>
      <c r="N80" s="2">
        <f t="shared" si="32"/>
        <v>0.50593274388565557</v>
      </c>
      <c r="O80" s="2">
        <f t="shared" si="32"/>
        <v>0.54387222815250513</v>
      </c>
      <c r="P80" s="2">
        <f t="shared" si="32"/>
        <v>0.47930823816908757</v>
      </c>
      <c r="Q80" s="2">
        <f t="shared" si="32"/>
        <v>0.63626378790625271</v>
      </c>
      <c r="R80" s="2">
        <f t="shared" si="32"/>
        <v>0.51387618913348554</v>
      </c>
    </row>
    <row r="81" spans="1:18">
      <c r="A81" s="4" t="s">
        <v>8</v>
      </c>
      <c r="B81" s="2">
        <f t="shared" ref="B81:R81" si="33">(B75-60.162)/(118.48-60.162)</f>
        <v>0.44037192633492228</v>
      </c>
      <c r="C81" s="2">
        <f t="shared" si="33"/>
        <v>0.49744710038067158</v>
      </c>
      <c r="D81" s="2">
        <f t="shared" si="33"/>
        <v>0.50937737919681736</v>
      </c>
      <c r="E81" s="2">
        <f t="shared" si="33"/>
        <v>0.31428581227065405</v>
      </c>
      <c r="F81" s="2">
        <f t="shared" si="33"/>
        <v>0.52054545766315719</v>
      </c>
      <c r="G81" s="2">
        <f t="shared" si="33"/>
        <v>0.52277615830446855</v>
      </c>
      <c r="H81" s="2">
        <f t="shared" si="33"/>
        <v>1.7147364450653253E-6</v>
      </c>
      <c r="I81" s="2">
        <f t="shared" si="33"/>
        <v>0.17185140093967569</v>
      </c>
      <c r="J81" s="2">
        <f t="shared" si="33"/>
        <v>0.15254535477897038</v>
      </c>
      <c r="K81" s="2">
        <f t="shared" si="33"/>
        <v>0.45713930518879242</v>
      </c>
      <c r="L81" s="2">
        <f t="shared" si="33"/>
        <v>0.50880071333036103</v>
      </c>
      <c r="M81" s="2">
        <f t="shared" si="33"/>
        <v>0.38673308412497009</v>
      </c>
      <c r="N81" s="2">
        <f t="shared" si="33"/>
        <v>0.2540354607496827</v>
      </c>
      <c r="O81" s="2">
        <f t="shared" si="33"/>
        <v>0.54826262903391754</v>
      </c>
      <c r="P81" s="2">
        <f t="shared" si="33"/>
        <v>0.43410284989197157</v>
      </c>
      <c r="Q81" s="2">
        <f t="shared" si="33"/>
        <v>0.47508848040056251</v>
      </c>
      <c r="R81" s="2">
        <f t="shared" si="33"/>
        <v>0.36837528721835444</v>
      </c>
    </row>
    <row r="82" spans="1:18">
      <c r="A82" s="3" t="s">
        <v>50</v>
      </c>
      <c r="B82" s="2">
        <f t="shared" ref="B82:R82" si="34">(B76+B77+B78+B79+B80+B81)/6</f>
        <v>0.33490697751865106</v>
      </c>
      <c r="C82" s="2">
        <f t="shared" si="34"/>
        <v>0.36269639093491457</v>
      </c>
      <c r="D82" s="2">
        <f t="shared" si="34"/>
        <v>0.44499590437942366</v>
      </c>
      <c r="E82" s="2">
        <f t="shared" si="34"/>
        <v>0.35047185440177198</v>
      </c>
      <c r="F82" s="2">
        <f t="shared" si="34"/>
        <v>0.25611389175789168</v>
      </c>
      <c r="G82" s="2">
        <f t="shared" si="34"/>
        <v>0.37904384325853657</v>
      </c>
      <c r="H82" s="2">
        <f t="shared" si="34"/>
        <v>9.789642107063036E-2</v>
      </c>
      <c r="I82" s="2">
        <f t="shared" si="34"/>
        <v>0.17095061229176059</v>
      </c>
      <c r="J82" s="2">
        <f t="shared" si="34"/>
        <v>0.4968324188744983</v>
      </c>
      <c r="K82" s="2">
        <f t="shared" si="34"/>
        <v>0.338496011672065</v>
      </c>
      <c r="L82" s="2">
        <f t="shared" si="34"/>
        <v>0.29104012868494911</v>
      </c>
      <c r="M82" s="2">
        <f t="shared" si="34"/>
        <v>0.16908541391694354</v>
      </c>
      <c r="N82" s="2">
        <f t="shared" si="34"/>
        <v>0.38338999166476562</v>
      </c>
      <c r="O82" s="2">
        <f t="shared" si="34"/>
        <v>0.36585240831521032</v>
      </c>
      <c r="P82" s="2">
        <f t="shared" si="34"/>
        <v>0.29141213198071086</v>
      </c>
      <c r="Q82" s="2">
        <f t="shared" si="34"/>
        <v>0.32392100738769442</v>
      </c>
      <c r="R82" s="2">
        <f t="shared" si="34"/>
        <v>0.37221227318096989</v>
      </c>
    </row>
    <row r="84" spans="1:18">
      <c r="A84" s="1" t="s">
        <v>9</v>
      </c>
      <c r="B84" s="2" t="s">
        <v>28</v>
      </c>
      <c r="C84" s="2" t="s">
        <v>29</v>
      </c>
      <c r="D84" s="2" t="s">
        <v>30</v>
      </c>
      <c r="E84" s="2" t="s">
        <v>31</v>
      </c>
      <c r="F84" s="2" t="s">
        <v>32</v>
      </c>
      <c r="G84" s="2" t="s">
        <v>33</v>
      </c>
      <c r="H84" s="2" t="s">
        <v>34</v>
      </c>
      <c r="I84" s="2" t="s">
        <v>35</v>
      </c>
      <c r="J84" s="2" t="s">
        <v>36</v>
      </c>
      <c r="K84" s="2" t="s">
        <v>37</v>
      </c>
      <c r="L84" s="2" t="s">
        <v>38</v>
      </c>
      <c r="M84" s="2" t="s">
        <v>39</v>
      </c>
      <c r="N84" s="2" t="s">
        <v>40</v>
      </c>
      <c r="O84" s="2" t="s">
        <v>41</v>
      </c>
      <c r="P84" s="2" t="s">
        <v>42</v>
      </c>
      <c r="Q84" s="2" t="s">
        <v>43</v>
      </c>
      <c r="R84" s="2" t="s">
        <v>44</v>
      </c>
    </row>
    <row r="85" spans="1:18">
      <c r="B85" s="2">
        <v>2008</v>
      </c>
      <c r="C85" s="2">
        <v>2008</v>
      </c>
      <c r="D85" s="2">
        <v>2008</v>
      </c>
      <c r="E85" s="2">
        <v>2008</v>
      </c>
      <c r="F85" s="2">
        <v>2008</v>
      </c>
      <c r="G85" s="2">
        <v>2008</v>
      </c>
      <c r="H85" s="2">
        <v>2008</v>
      </c>
      <c r="I85" s="2">
        <v>2008</v>
      </c>
      <c r="J85" s="2">
        <v>2008</v>
      </c>
      <c r="K85" s="2">
        <v>2008</v>
      </c>
      <c r="L85" s="2">
        <v>2008</v>
      </c>
      <c r="M85" s="2">
        <v>2008</v>
      </c>
      <c r="N85" s="2">
        <v>2008</v>
      </c>
      <c r="O85" s="2">
        <v>2008</v>
      </c>
      <c r="P85" s="2">
        <v>2008</v>
      </c>
      <c r="Q85" s="2">
        <v>2008</v>
      </c>
      <c r="R85" s="2">
        <v>2008</v>
      </c>
    </row>
    <row r="86" spans="1:18">
      <c r="A86" s="1" t="s">
        <v>0</v>
      </c>
      <c r="B86" s="3">
        <v>34425.400579684028</v>
      </c>
      <c r="C86" s="3">
        <v>33593.777471544294</v>
      </c>
      <c r="D86" s="3">
        <v>35949.606359853686</v>
      </c>
      <c r="E86" s="3">
        <v>34123.025003600756</v>
      </c>
      <c r="F86" s="3">
        <v>33443.047879683916</v>
      </c>
      <c r="G86" s="3">
        <v>30271.381495735794</v>
      </c>
      <c r="H86" s="3">
        <v>28453.562099235121</v>
      </c>
      <c r="I86" s="3">
        <v>39640.581162403592</v>
      </c>
      <c r="J86" s="3">
        <v>31322.699522559677</v>
      </c>
      <c r="K86" s="3">
        <v>38105.945567971459</v>
      </c>
      <c r="L86" s="3">
        <v>25497.996153763619</v>
      </c>
      <c r="M86" s="3">
        <v>48526.381590143457</v>
      </c>
      <c r="N86" s="3">
        <v>28353.889345278742</v>
      </c>
      <c r="O86" s="3">
        <v>34300.562463017624</v>
      </c>
      <c r="P86" s="3">
        <v>39566.843755857997</v>
      </c>
      <c r="Q86" s="3">
        <v>34473.771277252919</v>
      </c>
      <c r="R86" s="3">
        <v>44872.653625908511</v>
      </c>
    </row>
    <row r="87" spans="1:18">
      <c r="A87" s="1" t="s">
        <v>1</v>
      </c>
      <c r="B87" s="2">
        <v>49301</v>
      </c>
      <c r="C87" s="2">
        <v>55263</v>
      </c>
      <c r="D87" s="2">
        <v>48921</v>
      </c>
      <c r="E87" s="2">
        <v>45900</v>
      </c>
      <c r="F87" s="2">
        <v>51135</v>
      </c>
      <c r="G87" s="2">
        <v>52486</v>
      </c>
      <c r="H87" s="2">
        <v>45807</v>
      </c>
      <c r="I87" s="2">
        <v>52324</v>
      </c>
      <c r="J87" s="2">
        <v>44131</v>
      </c>
      <c r="K87" s="2">
        <v>47143</v>
      </c>
      <c r="L87" s="2">
        <v>35843</v>
      </c>
      <c r="M87" s="2">
        <v>50939</v>
      </c>
      <c r="N87" s="2">
        <v>39376</v>
      </c>
      <c r="O87" s="2">
        <v>49894</v>
      </c>
      <c r="P87" s="2">
        <v>42139</v>
      </c>
      <c r="Q87" s="2">
        <v>49095</v>
      </c>
      <c r="R87" s="2">
        <v>64812</v>
      </c>
    </row>
    <row r="88" spans="1:18">
      <c r="A88" s="1" t="s">
        <v>2</v>
      </c>
      <c r="B88" s="2">
        <v>28.553441239924837</v>
      </c>
      <c r="C88" s="2">
        <v>24.859184409960303</v>
      </c>
      <c r="D88" s="2">
        <v>24.76079225753983</v>
      </c>
      <c r="E88" s="2">
        <v>25.538686890811523</v>
      </c>
      <c r="F88" s="2">
        <v>26.012818441320622</v>
      </c>
      <c r="G88" s="2">
        <v>19.843419830901691</v>
      </c>
      <c r="H88" s="2">
        <v>20.806425533168639</v>
      </c>
      <c r="I88" s="2">
        <v>30.722666723695301</v>
      </c>
      <c r="J88" s="2">
        <v>23.170858960518089</v>
      </c>
      <c r="K88" s="2">
        <v>28.806807955174346</v>
      </c>
      <c r="L88" s="2">
        <v>21.077355593477666</v>
      </c>
      <c r="M88" s="2">
        <v>41.752418245300426</v>
      </c>
      <c r="N88" s="2">
        <v>23.29654307640827</v>
      </c>
      <c r="O88" s="2">
        <v>26.975426923653067</v>
      </c>
      <c r="P88" s="2">
        <v>33.156351931559108</v>
      </c>
      <c r="Q88" s="2">
        <v>14.819724192206287</v>
      </c>
      <c r="R88" s="2">
        <v>12.545624608806341</v>
      </c>
    </row>
    <row r="89" spans="1:18">
      <c r="A89" s="1" t="s">
        <v>3</v>
      </c>
      <c r="B89" s="2">
        <v>112.77817388566737</v>
      </c>
      <c r="C89" s="2">
        <v>169.01017683146878</v>
      </c>
      <c r="D89" s="2">
        <v>68.711278032303497</v>
      </c>
      <c r="E89" s="2">
        <v>106.29700105866462</v>
      </c>
      <c r="F89" s="2">
        <v>89.917057144395969</v>
      </c>
      <c r="G89" s="2">
        <v>56.002472590711228</v>
      </c>
      <c r="H89" s="2">
        <v>57.744560004280565</v>
      </c>
      <c r="I89" s="2">
        <v>157.81892623733737</v>
      </c>
      <c r="J89" s="2">
        <v>35.228316793004439</v>
      </c>
      <c r="K89" s="2">
        <v>144.24161579596318</v>
      </c>
      <c r="L89" s="2">
        <v>62.940430859036745</v>
      </c>
      <c r="M89" s="2">
        <v>76.269476240217443</v>
      </c>
      <c r="N89" s="2">
        <v>58.808701695550965</v>
      </c>
      <c r="O89" s="2">
        <v>100.30618040645129</v>
      </c>
      <c r="P89" s="2">
        <v>97.441624264042446</v>
      </c>
      <c r="Q89" s="2">
        <v>61.917885034050904</v>
      </c>
      <c r="R89" s="2">
        <v>30.967065889319446</v>
      </c>
    </row>
    <row r="90" spans="1:18">
      <c r="A90" s="6" t="s">
        <v>27</v>
      </c>
      <c r="B90" s="2">
        <v>80.234146341463429</v>
      </c>
      <c r="C90" s="2">
        <v>79.482926829268294</v>
      </c>
      <c r="D90" s="2">
        <v>80.964878048780506</v>
      </c>
      <c r="E90" s="2">
        <v>78.44634146341464</v>
      </c>
      <c r="F90" s="2">
        <v>79.568292682926838</v>
      </c>
      <c r="G90" s="2">
        <v>80.868292682926835</v>
      </c>
      <c r="H90" s="2">
        <v>81.385365853658527</v>
      </c>
      <c r="I90" s="2">
        <v>79.14146341463416</v>
      </c>
      <c r="J90" s="2">
        <v>82.587560975609776</v>
      </c>
      <c r="K90" s="2">
        <v>80.251219512195121</v>
      </c>
      <c r="L90" s="2">
        <v>80.351219512195144</v>
      </c>
      <c r="M90" s="2">
        <v>80.592682926829283</v>
      </c>
      <c r="N90" s="2">
        <v>81.175609756097572</v>
      </c>
      <c r="O90" s="2">
        <v>81.100000000000009</v>
      </c>
      <c r="P90" s="2">
        <v>81.992682926829275</v>
      </c>
      <c r="Q90" s="2">
        <v>79.600000000000009</v>
      </c>
      <c r="R90" s="2">
        <v>77.939024390243915</v>
      </c>
    </row>
    <row r="91" spans="1:18">
      <c r="A91" s="6" t="s">
        <v>8</v>
      </c>
      <c r="B91" s="2">
        <v>99.264650000000003</v>
      </c>
      <c r="C91" s="2">
        <v>111.18052</v>
      </c>
      <c r="D91" s="2">
        <v>101.3154</v>
      </c>
      <c r="E91" s="2">
        <v>117.44735</v>
      </c>
      <c r="F91" s="2">
        <v>108.73412</v>
      </c>
      <c r="G91" s="2">
        <v>112.71348999999999</v>
      </c>
      <c r="H91" s="2">
        <v>99.121020000000001</v>
      </c>
      <c r="I91" s="2">
        <v>113.89700999999999</v>
      </c>
      <c r="J91" s="2">
        <v>101.33011</v>
      </c>
      <c r="K91" s="2">
        <v>120.34309</v>
      </c>
      <c r="L91" s="2">
        <v>117.01555</v>
      </c>
      <c r="M91" s="2">
        <v>112.05229</v>
      </c>
      <c r="N91" s="2">
        <v>118.48044</v>
      </c>
      <c r="O91" s="2">
        <v>101.75019</v>
      </c>
      <c r="P91" s="2">
        <v>95.790819999999997</v>
      </c>
      <c r="Q91" s="2">
        <v>99.335750000000004</v>
      </c>
      <c r="R91" s="2">
        <v>96.855509999999995</v>
      </c>
    </row>
    <row r="92" spans="1:18">
      <c r="A92" s="3" t="s">
        <v>4</v>
      </c>
      <c r="B92" s="2">
        <f t="shared" ref="B92:R92" si="35">(B86-3375.032)/(48526.38-3375.031)</f>
        <v>0.68769525755883909</v>
      </c>
      <c r="C92" s="2">
        <f t="shared" si="35"/>
        <v>0.66927669141279256</v>
      </c>
      <c r="D92" s="2">
        <f t="shared" si="35"/>
        <v>0.7214529594642608</v>
      </c>
      <c r="E92" s="2">
        <f t="shared" si="35"/>
        <v>0.68099832418297757</v>
      </c>
      <c r="F92" s="2">
        <f t="shared" si="35"/>
        <v>0.66593837273132017</v>
      </c>
      <c r="G92" s="2">
        <f t="shared" si="35"/>
        <v>0.59569315405694301</v>
      </c>
      <c r="H92" s="2">
        <f t="shared" si="35"/>
        <v>0.55543257631649334</v>
      </c>
      <c r="I92" s="2">
        <f t="shared" si="35"/>
        <v>0.80319968208266812</v>
      </c>
      <c r="J92" s="2">
        <f t="shared" si="35"/>
        <v>0.61897746449523983</v>
      </c>
      <c r="K92" s="2">
        <f t="shared" si="35"/>
        <v>0.76921098344085936</v>
      </c>
      <c r="L92" s="2">
        <f t="shared" si="35"/>
        <v>0.4899734923482269</v>
      </c>
      <c r="M92" s="2">
        <f t="shared" si="35"/>
        <v>1.0000000130703395</v>
      </c>
      <c r="N92" s="2">
        <f t="shared" si="35"/>
        <v>0.55322505082359208</v>
      </c>
      <c r="O92" s="2">
        <f t="shared" si="35"/>
        <v>0.68493037634418474</v>
      </c>
      <c r="P92" s="2">
        <f t="shared" si="35"/>
        <v>0.80156656572670737</v>
      </c>
      <c r="Q92" s="2">
        <f t="shared" si="35"/>
        <v>0.68876655882979099</v>
      </c>
      <c r="R92" s="2">
        <f t="shared" si="35"/>
        <v>0.91907822346367807</v>
      </c>
    </row>
    <row r="93" spans="1:18">
      <c r="A93" s="3" t="s">
        <v>5</v>
      </c>
      <c r="B93" s="2">
        <f>(B87-7521)/(64812-7521)</f>
        <v>0.72925939501841475</v>
      </c>
      <c r="C93" s="2">
        <f t="shared" ref="C93:R93" si="36">(C87-7521)/(64812-7521)</f>
        <v>0.83332460595905111</v>
      </c>
      <c r="D93" s="2">
        <f t="shared" si="36"/>
        <v>0.72262659056396294</v>
      </c>
      <c r="E93" s="2">
        <f t="shared" si="36"/>
        <v>0.66989579515107089</v>
      </c>
      <c r="F93" s="2">
        <f t="shared" si="36"/>
        <v>0.76127140388542702</v>
      </c>
      <c r="G93" s="2">
        <f t="shared" si="36"/>
        <v>0.78485276919585978</v>
      </c>
      <c r="H93" s="2">
        <f t="shared" si="36"/>
        <v>0.66827250353458656</v>
      </c>
      <c r="I93" s="2">
        <f t="shared" si="36"/>
        <v>0.7820250999284355</v>
      </c>
      <c r="J93" s="2">
        <f t="shared" si="36"/>
        <v>0.63901834494074117</v>
      </c>
      <c r="K93" s="2">
        <f t="shared" si="36"/>
        <v>0.69159204761655413</v>
      </c>
      <c r="L93" s="2">
        <f t="shared" si="36"/>
        <v>0.49435338883943375</v>
      </c>
      <c r="M93" s="2">
        <f t="shared" si="36"/>
        <v>0.75785027316681508</v>
      </c>
      <c r="N93" s="2">
        <f t="shared" si="36"/>
        <v>0.55602101551727146</v>
      </c>
      <c r="O93" s="2">
        <f t="shared" si="36"/>
        <v>0.73961006091707249</v>
      </c>
      <c r="P93" s="2">
        <f t="shared" si="36"/>
        <v>0.60424848580056201</v>
      </c>
      <c r="Q93" s="2">
        <f t="shared" si="36"/>
        <v>0.72566371681415931</v>
      </c>
      <c r="R93" s="2">
        <f t="shared" si="36"/>
        <v>1</v>
      </c>
    </row>
    <row r="94" spans="1:18">
      <c r="A94" s="3" t="s">
        <v>6</v>
      </c>
      <c r="B94" s="2">
        <f t="shared" ref="B94:R94" si="37">(B88-12.546)/(51.763-12.546)</f>
        <v>0.40817607771947978</v>
      </c>
      <c r="C94" s="2">
        <f t="shared" si="37"/>
        <v>0.31397568426856476</v>
      </c>
      <c r="D94" s="2">
        <f t="shared" si="37"/>
        <v>0.31146676843052329</v>
      </c>
      <c r="E94" s="2">
        <f t="shared" si="37"/>
        <v>0.33130241708472152</v>
      </c>
      <c r="F94" s="2">
        <f t="shared" si="37"/>
        <v>0.34339236660939448</v>
      </c>
      <c r="G94" s="2">
        <f t="shared" si="37"/>
        <v>0.1860779720759286</v>
      </c>
      <c r="H94" s="2">
        <f t="shared" si="37"/>
        <v>0.2106337948636724</v>
      </c>
      <c r="I94" s="2">
        <f t="shared" si="37"/>
        <v>0.46348947455683254</v>
      </c>
      <c r="J94" s="2">
        <f t="shared" si="37"/>
        <v>0.27092482751148966</v>
      </c>
      <c r="K94" s="2">
        <f t="shared" si="37"/>
        <v>0.41463671252707618</v>
      </c>
      <c r="L94" s="2">
        <f t="shared" si="37"/>
        <v>0.2175422799673016</v>
      </c>
      <c r="M94" s="2">
        <f t="shared" si="37"/>
        <v>0.74473871650815793</v>
      </c>
      <c r="N94" s="2">
        <f t="shared" si="37"/>
        <v>0.27412966510462988</v>
      </c>
      <c r="O94" s="2">
        <f t="shared" si="37"/>
        <v>0.36793806062812223</v>
      </c>
      <c r="P94" s="2">
        <f t="shared" si="37"/>
        <v>0.52554636845141411</v>
      </c>
      <c r="Q94" s="2">
        <f t="shared" si="37"/>
        <v>5.797802463743499E-2</v>
      </c>
      <c r="R94" s="2">
        <f t="shared" si="37"/>
        <v>-9.5721547711149228E-6</v>
      </c>
    </row>
    <row r="95" spans="1:18">
      <c r="A95" s="3" t="s">
        <v>3</v>
      </c>
      <c r="B95" s="2">
        <f t="shared" ref="B95:R95" si="38">(B89-30.967)/(176.669-30.967)</f>
        <v>0.56149657441673673</v>
      </c>
      <c r="C95" s="2">
        <f t="shared" si="38"/>
        <v>0.94743501689385712</v>
      </c>
      <c r="D95" s="2">
        <f t="shared" si="38"/>
        <v>0.25905120061703679</v>
      </c>
      <c r="E95" s="2">
        <f t="shared" si="38"/>
        <v>0.51701418689286782</v>
      </c>
      <c r="F95" s="2">
        <f t="shared" si="38"/>
        <v>0.40459332846766666</v>
      </c>
      <c r="G95" s="2">
        <f t="shared" si="38"/>
        <v>0.17182655413591597</v>
      </c>
      <c r="H95" s="2">
        <f t="shared" si="38"/>
        <v>0.18378306409164299</v>
      </c>
      <c r="I95" s="2">
        <f t="shared" si="38"/>
        <v>0.87062584067025417</v>
      </c>
      <c r="J95" s="2">
        <f t="shared" si="38"/>
        <v>2.9246796838783545E-2</v>
      </c>
      <c r="K95" s="2">
        <f t="shared" si="38"/>
        <v>0.77744036317938803</v>
      </c>
      <c r="L95" s="2">
        <f t="shared" si="38"/>
        <v>0.21944400803720435</v>
      </c>
      <c r="M95" s="2">
        <f t="shared" si="38"/>
        <v>0.31092556203907595</v>
      </c>
      <c r="N95" s="2">
        <f t="shared" si="38"/>
        <v>0.19108661305645061</v>
      </c>
      <c r="O95" s="2">
        <f t="shared" si="38"/>
        <v>0.47589724510611586</v>
      </c>
      <c r="P95" s="2">
        <f t="shared" si="38"/>
        <v>0.45623686884217407</v>
      </c>
      <c r="Q95" s="2">
        <f t="shared" si="38"/>
        <v>0.21242594497021938</v>
      </c>
      <c r="R95" s="2">
        <f t="shared" si="38"/>
        <v>4.5221973238267603E-7</v>
      </c>
    </row>
    <row r="96" spans="1:18">
      <c r="A96" s="3" t="s">
        <v>7</v>
      </c>
      <c r="B96" s="2">
        <f>(B90-64.423)/(82.588-64.423)</f>
        <v>0.87041818560217088</v>
      </c>
      <c r="C96" s="2">
        <f t="shared" ref="C96:R96" si="39">(C90-64.423)/(82.588-64.423)</f>
        <v>0.82906285875410402</v>
      </c>
      <c r="D96" s="2">
        <f t="shared" si="39"/>
        <v>0.91064563989983549</v>
      </c>
      <c r="E96" s="2">
        <f t="shared" si="39"/>
        <v>0.77199787852544144</v>
      </c>
      <c r="F96" s="2">
        <f t="shared" si="39"/>
        <v>0.83376232771411196</v>
      </c>
      <c r="G96" s="2">
        <f t="shared" si="39"/>
        <v>0.9053285264479406</v>
      </c>
      <c r="H96" s="2">
        <f t="shared" si="39"/>
        <v>0.93379388129141383</v>
      </c>
      <c r="I96" s="2">
        <f t="shared" si="39"/>
        <v>0.81026498291407456</v>
      </c>
      <c r="J96" s="2">
        <f t="shared" si="39"/>
        <v>0.99997583130249279</v>
      </c>
      <c r="K96" s="2">
        <f t="shared" si="39"/>
        <v>0.87135807939417154</v>
      </c>
      <c r="L96" s="2">
        <f t="shared" si="39"/>
        <v>0.87686317160446736</v>
      </c>
      <c r="M96" s="2">
        <f t="shared" si="39"/>
        <v>0.89015595523420254</v>
      </c>
      <c r="N96" s="2">
        <f t="shared" si="39"/>
        <v>0.92224661470396796</v>
      </c>
      <c r="O96" s="2">
        <f t="shared" si="39"/>
        <v>0.91808422791081823</v>
      </c>
      <c r="P96" s="2">
        <f t="shared" si="39"/>
        <v>0.96722724617832545</v>
      </c>
      <c r="Q96" s="2">
        <f t="shared" si="39"/>
        <v>0.83550784475640039</v>
      </c>
      <c r="R96" s="2">
        <f t="shared" si="39"/>
        <v>0.74406960584882575</v>
      </c>
    </row>
    <row r="97" spans="1:18">
      <c r="A97" s="4" t="s">
        <v>8</v>
      </c>
      <c r="B97" s="2">
        <f>(B91-60.162)/(118.48-60.162)</f>
        <v>0.67050739051407804</v>
      </c>
      <c r="C97" s="2">
        <f t="shared" ref="C97:R97" si="40">(C91-60.162)/(118.48-60.162)</f>
        <v>0.87483315614390067</v>
      </c>
      <c r="D97" s="2">
        <f t="shared" si="40"/>
        <v>0.70567234816008773</v>
      </c>
      <c r="E97" s="2">
        <f t="shared" si="40"/>
        <v>0.98229277410062066</v>
      </c>
      <c r="F97" s="2">
        <f t="shared" si="40"/>
        <v>0.83288384375321511</v>
      </c>
      <c r="G97" s="2">
        <f t="shared" si="40"/>
        <v>0.90111955142494582</v>
      </c>
      <c r="H97" s="2">
        <f t="shared" si="40"/>
        <v>0.66804451455811242</v>
      </c>
      <c r="I97" s="2">
        <f t="shared" si="40"/>
        <v>0.92141380019890928</v>
      </c>
      <c r="J97" s="2">
        <f t="shared" si="40"/>
        <v>0.70592458589114859</v>
      </c>
      <c r="K97" s="2">
        <f t="shared" si="40"/>
        <v>1.0319470832333071</v>
      </c>
      <c r="L97" s="2">
        <f t="shared" si="40"/>
        <v>0.97488854213107445</v>
      </c>
      <c r="M97" s="2">
        <f t="shared" si="40"/>
        <v>0.8897817140505504</v>
      </c>
      <c r="N97" s="2">
        <f t="shared" si="40"/>
        <v>1.000007544840358</v>
      </c>
      <c r="O97" s="2">
        <f t="shared" si="40"/>
        <v>0.71312785074933982</v>
      </c>
      <c r="P97" s="2">
        <f t="shared" si="40"/>
        <v>0.61094036146644248</v>
      </c>
      <c r="Q97" s="2">
        <f t="shared" si="40"/>
        <v>0.67172656812647902</v>
      </c>
      <c r="R97" s="2">
        <f t="shared" si="40"/>
        <v>0.6291969889228024</v>
      </c>
    </row>
    <row r="98" spans="1:18">
      <c r="A98" s="4" t="s">
        <v>50</v>
      </c>
      <c r="B98" s="2">
        <f>(B92+B93+B94+B95+B96+B97)/6</f>
        <v>0.65459214680495326</v>
      </c>
      <c r="C98" s="2">
        <f t="shared" ref="C98:R98" si="41">(C92+C93+C94+C95+C96+C97)/6</f>
        <v>0.74465133557204499</v>
      </c>
      <c r="D98" s="2">
        <f t="shared" si="41"/>
        <v>0.60515258452261789</v>
      </c>
      <c r="E98" s="2">
        <f t="shared" si="41"/>
        <v>0.65891689598961667</v>
      </c>
      <c r="F98" s="2">
        <f t="shared" si="41"/>
        <v>0.64030694052685588</v>
      </c>
      <c r="G98" s="2">
        <f t="shared" si="41"/>
        <v>0.59081642122292233</v>
      </c>
      <c r="H98" s="2">
        <f t="shared" si="41"/>
        <v>0.53666005577598686</v>
      </c>
      <c r="I98" s="2">
        <f t="shared" si="41"/>
        <v>0.77516981339186242</v>
      </c>
      <c r="J98" s="2">
        <f t="shared" si="41"/>
        <v>0.54401130849664925</v>
      </c>
      <c r="K98" s="2">
        <f t="shared" si="41"/>
        <v>0.75936421156522604</v>
      </c>
      <c r="L98" s="2">
        <f t="shared" si="41"/>
        <v>0.54551081382128475</v>
      </c>
      <c r="M98" s="2">
        <f t="shared" si="41"/>
        <v>0.76557537234485684</v>
      </c>
      <c r="N98" s="2">
        <f t="shared" si="41"/>
        <v>0.58278608400771159</v>
      </c>
      <c r="O98" s="2">
        <f t="shared" si="41"/>
        <v>0.64993130360927553</v>
      </c>
      <c r="P98" s="2">
        <f t="shared" si="41"/>
        <v>0.66096098274427095</v>
      </c>
      <c r="Q98" s="2">
        <f t="shared" si="41"/>
        <v>0.53201144302241399</v>
      </c>
      <c r="R98" s="2">
        <f t="shared" si="41"/>
        <v>0.54872261638337794</v>
      </c>
    </row>
    <row r="100" spans="1:18">
      <c r="A100" s="1" t="s">
        <v>9</v>
      </c>
      <c r="B100" s="2" t="s">
        <v>10</v>
      </c>
      <c r="C100" s="2" t="s">
        <v>11</v>
      </c>
      <c r="D100" s="2" t="s">
        <v>12</v>
      </c>
      <c r="E100" s="2" t="s">
        <v>13</v>
      </c>
      <c r="F100" s="2" t="s">
        <v>14</v>
      </c>
      <c r="G100" s="2" t="s">
        <v>15</v>
      </c>
      <c r="H100" s="2" t="s">
        <v>16</v>
      </c>
      <c r="I100" s="2" t="s">
        <v>17</v>
      </c>
      <c r="J100" s="2" t="s">
        <v>18</v>
      </c>
      <c r="K100" s="2" t="s">
        <v>19</v>
      </c>
      <c r="L100" s="2" t="s">
        <v>20</v>
      </c>
      <c r="M100" s="2" t="s">
        <v>21</v>
      </c>
      <c r="N100" s="2" t="s">
        <v>22</v>
      </c>
      <c r="O100" s="2" t="s">
        <v>23</v>
      </c>
      <c r="P100" s="2" t="s">
        <v>24</v>
      </c>
      <c r="Q100" s="2" t="s">
        <v>25</v>
      </c>
      <c r="R100" s="2" t="s">
        <v>26</v>
      </c>
    </row>
    <row r="101" spans="1:18">
      <c r="B101" s="2">
        <v>2007</v>
      </c>
      <c r="C101" s="2">
        <v>2007</v>
      </c>
      <c r="D101" s="2">
        <v>2007</v>
      </c>
      <c r="E101" s="2">
        <v>2007</v>
      </c>
      <c r="F101" s="2">
        <v>2007</v>
      </c>
      <c r="G101" s="2">
        <v>2007</v>
      </c>
      <c r="H101" s="2">
        <v>2007</v>
      </c>
      <c r="I101" s="2">
        <v>2007</v>
      </c>
      <c r="J101" s="2">
        <v>2007</v>
      </c>
      <c r="K101" s="2">
        <v>2007</v>
      </c>
      <c r="L101" s="2">
        <v>2007</v>
      </c>
      <c r="M101" s="2">
        <v>2007</v>
      </c>
      <c r="N101" s="2">
        <v>2007</v>
      </c>
      <c r="O101" s="2">
        <v>2007</v>
      </c>
      <c r="P101" s="2">
        <v>2007</v>
      </c>
      <c r="Q101" s="2">
        <v>2007</v>
      </c>
      <c r="R101" s="2">
        <v>2007</v>
      </c>
    </row>
    <row r="102" spans="1:18">
      <c r="A102" s="1" t="s">
        <v>0</v>
      </c>
      <c r="B102" s="3">
        <v>10892.2106575255</v>
      </c>
      <c r="C102" s="3">
        <v>11231.907906367382</v>
      </c>
      <c r="D102" s="3">
        <v>13745.729554390666</v>
      </c>
      <c r="E102" s="3">
        <v>5238.6765809166618</v>
      </c>
      <c r="F102" s="3">
        <v>8058.6438701842289</v>
      </c>
      <c r="G102" s="3">
        <v>10249.974908984253</v>
      </c>
      <c r="H102" s="3">
        <v>2606.1612659904417</v>
      </c>
      <c r="I102" s="3">
        <v>3425.3086613177702</v>
      </c>
      <c r="J102" s="3">
        <v>13122.091956503677</v>
      </c>
      <c r="K102" s="3">
        <v>12694.558171952534</v>
      </c>
      <c r="L102" s="3">
        <v>7288.0745002397753</v>
      </c>
      <c r="M102" s="3">
        <v>3294.9987536144909</v>
      </c>
      <c r="N102" s="3">
        <v>7437.8328776431154</v>
      </c>
      <c r="O102" s="3">
        <v>7892.3673616925207</v>
      </c>
      <c r="P102" s="3">
        <v>12577.402044065258</v>
      </c>
      <c r="Q102" s="3">
        <v>10633.944169039833</v>
      </c>
      <c r="R102" s="3">
        <v>11396.086420488909</v>
      </c>
    </row>
    <row r="103" spans="1:18">
      <c r="A103" s="1" t="s">
        <v>1</v>
      </c>
      <c r="B103" s="2">
        <v>26166</v>
      </c>
      <c r="C103" s="2">
        <v>17029</v>
      </c>
      <c r="D103" s="2">
        <v>30518</v>
      </c>
      <c r="E103" s="2">
        <v>9981</v>
      </c>
      <c r="F103" s="2">
        <v>17310</v>
      </c>
      <c r="G103" s="2">
        <v>17884</v>
      </c>
      <c r="H103" s="2">
        <v>7170</v>
      </c>
      <c r="I103" s="2">
        <v>9642</v>
      </c>
      <c r="J103" s="2">
        <v>24059</v>
      </c>
      <c r="K103" s="2">
        <v>20198</v>
      </c>
      <c r="L103" s="2">
        <v>13262</v>
      </c>
      <c r="M103" s="2">
        <v>7962</v>
      </c>
      <c r="N103" s="2">
        <v>15445</v>
      </c>
      <c r="O103" s="2">
        <v>16313</v>
      </c>
      <c r="P103" s="2">
        <v>28814</v>
      </c>
      <c r="Q103" s="2">
        <v>21993</v>
      </c>
      <c r="R103" s="2">
        <v>30157</v>
      </c>
    </row>
    <row r="104" spans="1:18">
      <c r="A104" s="1" t="s">
        <v>2</v>
      </c>
      <c r="B104" s="2">
        <v>28.490371260373948</v>
      </c>
      <c r="C104" s="2">
        <v>14.37638077205964</v>
      </c>
      <c r="D104" s="2">
        <v>33.133202107093538</v>
      </c>
      <c r="E104" s="2">
        <v>50.537736777971276</v>
      </c>
      <c r="F104" s="2">
        <v>19.775582733278895</v>
      </c>
      <c r="G104" s="2">
        <v>19.859961597133736</v>
      </c>
      <c r="H104" s="2">
        <v>34.019791400706602</v>
      </c>
      <c r="I104" s="2">
        <v>28.962470840770894</v>
      </c>
      <c r="J104" s="2">
        <v>43.28075330472619</v>
      </c>
      <c r="K104" s="2">
        <v>23.962488372242728</v>
      </c>
      <c r="L104" s="2">
        <v>29.438110602237444</v>
      </c>
      <c r="M104" s="2">
        <v>17.239532230965242</v>
      </c>
      <c r="N104" s="2">
        <v>34.821869805471941</v>
      </c>
      <c r="O104" s="2">
        <v>21.925119751054151</v>
      </c>
      <c r="P104" s="2">
        <v>16.324024971696947</v>
      </c>
      <c r="Q104" s="2">
        <v>18.496581968143524</v>
      </c>
      <c r="R104" s="2">
        <v>36.402020507690253</v>
      </c>
    </row>
    <row r="105" spans="1:18">
      <c r="A105" s="1" t="s">
        <v>3</v>
      </c>
      <c r="B105" s="2">
        <v>44.963672878450858</v>
      </c>
      <c r="C105" s="2">
        <v>138.64999177696976</v>
      </c>
      <c r="D105" s="2">
        <v>75.881175920830017</v>
      </c>
      <c r="E105" s="2">
        <v>68.027960558083095</v>
      </c>
      <c r="F105" s="2">
        <v>36.329893846039639</v>
      </c>
      <c r="G105" s="2">
        <v>102.22714310595913</v>
      </c>
      <c r="H105" s="2">
        <v>44.876192406095562</v>
      </c>
      <c r="I105" s="2">
        <v>54.829249978207464</v>
      </c>
      <c r="J105" s="2">
        <v>192.46755393899312</v>
      </c>
      <c r="K105" s="2">
        <v>57.435555197660918</v>
      </c>
      <c r="L105" s="2">
        <v>51.362905136217961</v>
      </c>
      <c r="M105" s="2">
        <v>86.619408899696097</v>
      </c>
      <c r="N105" s="2">
        <v>138.46095286713023</v>
      </c>
      <c r="O105" s="2">
        <v>104.03895393018048</v>
      </c>
      <c r="P105" s="2">
        <v>49.807113837416388</v>
      </c>
      <c r="Q105" s="2">
        <v>59.210447854198215</v>
      </c>
      <c r="R105" s="2">
        <v>56.199095481890929</v>
      </c>
    </row>
    <row r="106" spans="1:18">
      <c r="A106" s="6" t="s">
        <v>27</v>
      </c>
      <c r="B106" s="5">
        <v>75.114975609756115</v>
      </c>
      <c r="C106" s="5">
        <v>72.663414634146349</v>
      </c>
      <c r="D106" s="5">
        <v>78.534268292682938</v>
      </c>
      <c r="E106" s="5">
        <v>72.612585365853661</v>
      </c>
      <c r="F106" s="5">
        <v>72.753780487804889</v>
      </c>
      <c r="G106" s="5">
        <v>78.82141463414635</v>
      </c>
      <c r="H106" s="5">
        <v>64.068536585365862</v>
      </c>
      <c r="I106" s="5">
        <v>67.709585365853656</v>
      </c>
      <c r="J106" s="5">
        <v>73.359048780487811</v>
      </c>
      <c r="K106" s="5">
        <v>75.99714634146342</v>
      </c>
      <c r="L106" s="5">
        <v>73.050390243902442</v>
      </c>
      <c r="M106" s="5">
        <v>67.780097560975619</v>
      </c>
      <c r="N106" s="5">
        <v>73.46590243902439</v>
      </c>
      <c r="O106" s="5">
        <v>74.202439024390259</v>
      </c>
      <c r="P106" s="5">
        <v>72.810658536585379</v>
      </c>
      <c r="Q106" s="5">
        <v>75.855121951219516</v>
      </c>
      <c r="R106" s="5">
        <v>73.562439024390244</v>
      </c>
    </row>
    <row r="107" spans="1:18">
      <c r="A107" s="6" t="s">
        <v>48</v>
      </c>
      <c r="B107" s="5">
        <v>84.675370000000001</v>
      </c>
      <c r="C107" s="5">
        <v>90.253739999999993</v>
      </c>
      <c r="D107" s="5">
        <v>90.167280000000005</v>
      </c>
      <c r="E107" s="5">
        <v>76.143540000000002</v>
      </c>
      <c r="F107" s="5">
        <v>89.067260000000005</v>
      </c>
      <c r="G107" s="5">
        <v>89.298559999999995</v>
      </c>
      <c r="H107" s="5">
        <v>57.039709999999999</v>
      </c>
      <c r="I107" s="5">
        <v>71.49924</v>
      </c>
      <c r="J107" s="5">
        <v>68.952340000000007</v>
      </c>
      <c r="K107" s="5">
        <v>84.815370000000001</v>
      </c>
      <c r="L107" s="5">
        <v>89.729529999999997</v>
      </c>
      <c r="M107" s="5">
        <v>81.900329999999997</v>
      </c>
      <c r="N107" s="5">
        <v>75.488659999999996</v>
      </c>
      <c r="O107" s="5">
        <v>90.48657</v>
      </c>
      <c r="P107" s="5">
        <v>87.220020000000005</v>
      </c>
      <c r="Q107" s="5">
        <v>92.030240000000006</v>
      </c>
      <c r="R107" s="5">
        <v>79.848070000000007</v>
      </c>
    </row>
    <row r="108" spans="1:18">
      <c r="A108" s="3" t="s">
        <v>4</v>
      </c>
      <c r="B108" s="2">
        <f>(B102-3425.309)/(49101.79-3425.309)</f>
        <v>0.16347366290160356</v>
      </c>
      <c r="C108" s="2">
        <f t="shared" ref="C108:R108" si="42">(C102-3425.309)/(49101.79-3425.309)</f>
        <v>0.17091069047914137</v>
      </c>
      <c r="D108" s="2">
        <f t="shared" si="42"/>
        <v>0.22594605206978763</v>
      </c>
      <c r="E108" s="2">
        <f t="shared" si="42"/>
        <v>3.9700247068434662E-2</v>
      </c>
      <c r="F108" s="2">
        <f t="shared" si="42"/>
        <v>0.10143808736457234</v>
      </c>
      <c r="G108" s="2">
        <f t="shared" si="42"/>
        <v>0.14941312814759641</v>
      </c>
      <c r="H108" s="2">
        <f t="shared" si="42"/>
        <v>-1.7933687448679736E-2</v>
      </c>
      <c r="I108" s="2">
        <f t="shared" si="42"/>
        <v>-7.4148056632131306E-9</v>
      </c>
      <c r="J108" s="2">
        <f t="shared" si="42"/>
        <v>0.21229268858307357</v>
      </c>
      <c r="K108" s="2">
        <f t="shared" si="42"/>
        <v>0.20293264649596224</v>
      </c>
      <c r="L108" s="2">
        <f t="shared" si="42"/>
        <v>8.4567931146880063E-2</v>
      </c>
      <c r="M108" s="2">
        <f t="shared" si="42"/>
        <v>-2.8528959222035811E-3</v>
      </c>
      <c r="N108" s="2">
        <f t="shared" si="42"/>
        <v>8.7846607045825517E-2</v>
      </c>
      <c r="O108" s="2">
        <f t="shared" si="42"/>
        <v>9.7797778285339462E-2</v>
      </c>
      <c r="P108" s="2">
        <f t="shared" si="42"/>
        <v>0.20036773507278854</v>
      </c>
      <c r="Q108" s="2">
        <f t="shared" si="42"/>
        <v>0.15781940752046622</v>
      </c>
      <c r="R108" s="2">
        <f t="shared" si="42"/>
        <v>0.17450506794708878</v>
      </c>
    </row>
    <row r="109" spans="1:18">
      <c r="A109" s="3" t="s">
        <v>5</v>
      </c>
      <c r="B109" s="2">
        <f t="shared" ref="B109:R109" si="43">(B103-7170)/(64740-7170)</f>
        <v>0.32996352266805629</v>
      </c>
      <c r="C109" s="2">
        <f t="shared" si="43"/>
        <v>0.1712523883967344</v>
      </c>
      <c r="D109" s="2">
        <f t="shared" si="43"/>
        <v>0.40555845058190032</v>
      </c>
      <c r="E109" s="2">
        <f t="shared" si="43"/>
        <v>4.8827514330380406E-2</v>
      </c>
      <c r="F109" s="2">
        <f t="shared" si="43"/>
        <v>0.17613340281396561</v>
      </c>
      <c r="G109" s="2">
        <f t="shared" si="43"/>
        <v>0.18610387354524927</v>
      </c>
      <c r="H109" s="2">
        <f t="shared" si="43"/>
        <v>0</v>
      </c>
      <c r="I109" s="2">
        <f t="shared" si="43"/>
        <v>4.2939030745179782E-2</v>
      </c>
      <c r="J109" s="2">
        <f t="shared" si="43"/>
        <v>0.29336459961785655</v>
      </c>
      <c r="K109" s="2">
        <f t="shared" si="43"/>
        <v>0.22629841931561578</v>
      </c>
      <c r="L109" s="2">
        <f t="shared" si="43"/>
        <v>0.10581900295292687</v>
      </c>
      <c r="M109" s="2">
        <f t="shared" si="43"/>
        <v>1.3757165190203232E-2</v>
      </c>
      <c r="N109" s="2">
        <f t="shared" si="43"/>
        <v>0.14373805801632794</v>
      </c>
      <c r="O109" s="2">
        <f t="shared" si="43"/>
        <v>0.1588153552197325</v>
      </c>
      <c r="P109" s="2">
        <f t="shared" si="43"/>
        <v>0.37595970123328121</v>
      </c>
      <c r="Q109" s="2">
        <f t="shared" si="43"/>
        <v>0.25747785304846277</v>
      </c>
      <c r="R109" s="2">
        <f t="shared" si="43"/>
        <v>0.39928782351919401</v>
      </c>
    </row>
    <row r="110" spans="1:18">
      <c r="A110" s="3" t="s">
        <v>6</v>
      </c>
      <c r="B110" s="2">
        <f t="shared" ref="B110:R110" si="44">(B104-14.065)/(50.538-14.065)</f>
        <v>0.39550821869256569</v>
      </c>
      <c r="C110" s="2">
        <f t="shared" si="44"/>
        <v>8.5372953159773227E-3</v>
      </c>
      <c r="D110" s="2">
        <f t="shared" si="44"/>
        <v>0.52280322723915063</v>
      </c>
      <c r="E110" s="2">
        <f t="shared" si="44"/>
        <v>0.99999278309903983</v>
      </c>
      <c r="F110" s="2">
        <f t="shared" si="44"/>
        <v>0.156570140467713</v>
      </c>
      <c r="G110" s="2">
        <f t="shared" si="44"/>
        <v>0.15888360148969752</v>
      </c>
      <c r="H110" s="2">
        <f t="shared" si="44"/>
        <v>0.54711132620586744</v>
      </c>
      <c r="I110" s="2">
        <f t="shared" si="44"/>
        <v>0.40845202864504965</v>
      </c>
      <c r="J110" s="2">
        <f t="shared" si="44"/>
        <v>0.80102413579157716</v>
      </c>
      <c r="K110" s="2">
        <f t="shared" si="44"/>
        <v>0.27136480059887391</v>
      </c>
      <c r="L110" s="2">
        <f t="shared" si="44"/>
        <v>0.42149290165978792</v>
      </c>
      <c r="M110" s="2">
        <f t="shared" si="44"/>
        <v>8.7037869957646549E-2</v>
      </c>
      <c r="N110" s="2">
        <f t="shared" si="44"/>
        <v>0.5691023443498463</v>
      </c>
      <c r="O110" s="2">
        <f t="shared" si="44"/>
        <v>0.2155051613811354</v>
      </c>
      <c r="P110" s="2">
        <f t="shared" si="44"/>
        <v>6.1936911460448746E-2</v>
      </c>
      <c r="Q110" s="2">
        <f t="shared" si="44"/>
        <v>0.12150308360001985</v>
      </c>
      <c r="R110" s="2">
        <f t="shared" si="44"/>
        <v>0.61242619218847516</v>
      </c>
    </row>
    <row r="111" spans="1:18">
      <c r="A111" s="3" t="s">
        <v>3</v>
      </c>
      <c r="B111" s="2">
        <f t="shared" ref="B111:R111" si="45">(B105-28.911)/(192.468-28.911)</f>
        <v>9.8147269016005775E-2</v>
      </c>
      <c r="C111" s="2">
        <f t="shared" si="45"/>
        <v>0.67095258397359792</v>
      </c>
      <c r="D111" s="2">
        <f t="shared" si="45"/>
        <v>0.28717924589488691</v>
      </c>
      <c r="E111" s="2">
        <f t="shared" si="45"/>
        <v>0.23916408688153423</v>
      </c>
      <c r="F111" s="2">
        <f t="shared" si="45"/>
        <v>4.5359684061456483E-2</v>
      </c>
      <c r="G111" s="2">
        <f t="shared" si="45"/>
        <v>0.44826050310264393</v>
      </c>
      <c r="H111" s="2">
        <f t="shared" si="45"/>
        <v>9.7612406721177089E-2</v>
      </c>
      <c r="I111" s="2">
        <f t="shared" si="45"/>
        <v>0.15846616151071163</v>
      </c>
      <c r="J111" s="2">
        <f t="shared" si="45"/>
        <v>0.99999727274890793</v>
      </c>
      <c r="K111" s="2">
        <f t="shared" si="45"/>
        <v>0.17440131084368701</v>
      </c>
      <c r="L111" s="2">
        <f t="shared" si="45"/>
        <v>0.13727266418568426</v>
      </c>
      <c r="M111" s="2">
        <f t="shared" si="45"/>
        <v>0.35283362313869843</v>
      </c>
      <c r="N111" s="2">
        <f t="shared" si="45"/>
        <v>0.66979678562904821</v>
      </c>
      <c r="O111" s="2">
        <f t="shared" si="45"/>
        <v>0.45933805297346175</v>
      </c>
      <c r="P111" s="2">
        <f t="shared" si="45"/>
        <v>0.12776043726295047</v>
      </c>
      <c r="Q111" s="2">
        <f t="shared" si="45"/>
        <v>0.18525314021532685</v>
      </c>
      <c r="R111" s="2">
        <f t="shared" si="45"/>
        <v>0.16684150162873451</v>
      </c>
    </row>
    <row r="112" spans="1:18">
      <c r="A112" s="3" t="s">
        <v>7</v>
      </c>
      <c r="B112" s="2">
        <f t="shared" ref="B112:R112" si="46">(B106-64.069)/(82.507-64.069)</f>
        <v>0.59908751544398042</v>
      </c>
      <c r="C112" s="2">
        <f t="shared" si="46"/>
        <v>0.46612510218821701</v>
      </c>
      <c r="D112" s="2">
        <f t="shared" si="46"/>
        <v>0.78453564880588644</v>
      </c>
      <c r="E112" s="2">
        <f t="shared" si="46"/>
        <v>0.46336833527788573</v>
      </c>
      <c r="F112" s="2">
        <f t="shared" si="46"/>
        <v>0.4710261681204515</v>
      </c>
      <c r="G112" s="2">
        <f t="shared" si="46"/>
        <v>0.80010926532955562</v>
      </c>
      <c r="H112" s="2">
        <f t="shared" si="46"/>
        <v>-2.5133671447024383E-5</v>
      </c>
      <c r="I112" s="2">
        <f t="shared" si="46"/>
        <v>0.1974501228904248</v>
      </c>
      <c r="J112" s="2">
        <f t="shared" si="46"/>
        <v>0.50385338868032359</v>
      </c>
      <c r="K112" s="2">
        <f t="shared" si="46"/>
        <v>0.64693276610605355</v>
      </c>
      <c r="L112" s="2">
        <f t="shared" si="46"/>
        <v>0.48711304067157163</v>
      </c>
      <c r="M112" s="2">
        <f t="shared" si="46"/>
        <v>0.20127440942486258</v>
      </c>
      <c r="N112" s="2">
        <f t="shared" si="46"/>
        <v>0.50964868418615827</v>
      </c>
      <c r="O112" s="2">
        <f t="shared" si="46"/>
        <v>0.54959534788969822</v>
      </c>
      <c r="P112" s="2">
        <f t="shared" si="46"/>
        <v>0.47411099558441128</v>
      </c>
      <c r="Q112" s="2">
        <f t="shared" si="46"/>
        <v>0.63922995721984555</v>
      </c>
      <c r="R112" s="2">
        <f t="shared" si="46"/>
        <v>0.51488442479608632</v>
      </c>
    </row>
    <row r="113" spans="1:18">
      <c r="A113" s="4" t="s">
        <v>8</v>
      </c>
      <c r="B113" s="2">
        <f t="shared" ref="B113:R113" si="47">(B107-57.04)/(119.642-57.04)</f>
        <v>0.44144548097504877</v>
      </c>
      <c r="C113" s="2">
        <f t="shared" si="47"/>
        <v>0.5305539759113127</v>
      </c>
      <c r="D113" s="2">
        <f t="shared" si="47"/>
        <v>0.52917286987636192</v>
      </c>
      <c r="E113" s="2">
        <f t="shared" si="47"/>
        <v>0.30515862113031539</v>
      </c>
      <c r="F113" s="2">
        <f t="shared" si="47"/>
        <v>0.51160122679786602</v>
      </c>
      <c r="G113" s="2">
        <f t="shared" si="47"/>
        <v>0.51529599693300532</v>
      </c>
      <c r="H113" s="2">
        <f t="shared" si="47"/>
        <v>-4.632439858146376E-6</v>
      </c>
      <c r="I113" s="2">
        <f t="shared" si="47"/>
        <v>0.23097089549854641</v>
      </c>
      <c r="J113" s="2">
        <f t="shared" si="47"/>
        <v>0.19028689179259461</v>
      </c>
      <c r="K113" s="2">
        <f t="shared" si="47"/>
        <v>0.44368183125139776</v>
      </c>
      <c r="L113" s="2">
        <f t="shared" si="47"/>
        <v>0.52218028178013476</v>
      </c>
      <c r="M113" s="2">
        <f t="shared" si="47"/>
        <v>0.39711718475448066</v>
      </c>
      <c r="N113" s="2">
        <f t="shared" si="47"/>
        <v>0.29469761349477647</v>
      </c>
      <c r="O113" s="2">
        <f t="shared" si="47"/>
        <v>0.5342731861601866</v>
      </c>
      <c r="P113" s="2">
        <f t="shared" si="47"/>
        <v>0.48209354333727367</v>
      </c>
      <c r="Q113" s="2">
        <f t="shared" si="47"/>
        <v>0.55893166352512713</v>
      </c>
      <c r="R113" s="2">
        <f t="shared" si="47"/>
        <v>0.36433452605348088</v>
      </c>
    </row>
    <row r="114" spans="1:18">
      <c r="A114" s="3" t="s">
        <v>51</v>
      </c>
      <c r="B114" s="2">
        <f t="shared" ref="B114:R114" si="48">(B108+B109+B110+B111+B112+B113)/6</f>
        <v>0.33793761161621011</v>
      </c>
      <c r="C114" s="2">
        <f t="shared" si="48"/>
        <v>0.33638867271083006</v>
      </c>
      <c r="D114" s="2">
        <f t="shared" si="48"/>
        <v>0.4591992490779957</v>
      </c>
      <c r="E114" s="2">
        <f t="shared" si="48"/>
        <v>0.3493685979645984</v>
      </c>
      <c r="F114" s="2">
        <f t="shared" si="48"/>
        <v>0.24368811827100414</v>
      </c>
      <c r="G114" s="2">
        <f t="shared" si="48"/>
        <v>0.37634439475795806</v>
      </c>
      <c r="H114" s="2">
        <f t="shared" si="48"/>
        <v>0.10446004656117659</v>
      </c>
      <c r="I114" s="2">
        <f t="shared" si="48"/>
        <v>0.1730463719791844</v>
      </c>
      <c r="J114" s="2">
        <f t="shared" si="48"/>
        <v>0.50013649620238898</v>
      </c>
      <c r="K114" s="2">
        <f t="shared" si="48"/>
        <v>0.32760196243526502</v>
      </c>
      <c r="L114" s="2">
        <f t="shared" si="48"/>
        <v>0.29307430373283094</v>
      </c>
      <c r="M114" s="2">
        <f t="shared" si="48"/>
        <v>0.17486122609061464</v>
      </c>
      <c r="N114" s="2">
        <f t="shared" si="48"/>
        <v>0.37913834878699709</v>
      </c>
      <c r="O114" s="2">
        <f t="shared" si="48"/>
        <v>0.33588748031825899</v>
      </c>
      <c r="P114" s="2">
        <f t="shared" si="48"/>
        <v>0.28703822065852563</v>
      </c>
      <c r="Q114" s="2">
        <f t="shared" si="48"/>
        <v>0.32003585085487468</v>
      </c>
      <c r="R114" s="2">
        <f t="shared" si="48"/>
        <v>0.37204658935550988</v>
      </c>
    </row>
    <row r="117" spans="1:18">
      <c r="A117" s="1" t="s">
        <v>9</v>
      </c>
      <c r="B117" s="2" t="s">
        <v>28</v>
      </c>
      <c r="C117" s="2" t="s">
        <v>29</v>
      </c>
      <c r="D117" s="2" t="s">
        <v>30</v>
      </c>
      <c r="E117" s="2" t="s">
        <v>31</v>
      </c>
      <c r="F117" s="2" t="s">
        <v>32</v>
      </c>
      <c r="G117" s="2" t="s">
        <v>33</v>
      </c>
      <c r="H117" s="2" t="s">
        <v>34</v>
      </c>
      <c r="I117" s="2" t="s">
        <v>35</v>
      </c>
      <c r="J117" s="2" t="s">
        <v>36</v>
      </c>
      <c r="K117" s="2" t="s">
        <v>37</v>
      </c>
      <c r="L117" s="2" t="s">
        <v>38</v>
      </c>
      <c r="M117" s="2" t="s">
        <v>39</v>
      </c>
      <c r="N117" s="2" t="s">
        <v>40</v>
      </c>
      <c r="O117" s="2" t="s">
        <v>41</v>
      </c>
      <c r="P117" s="2" t="s">
        <v>42</v>
      </c>
      <c r="Q117" s="2" t="s">
        <v>43</v>
      </c>
      <c r="R117" s="2" t="s">
        <v>44</v>
      </c>
    </row>
    <row r="118" spans="1:18">
      <c r="B118" s="2">
        <v>2007</v>
      </c>
      <c r="C118" s="2">
        <v>2007</v>
      </c>
      <c r="D118" s="2">
        <v>2007</v>
      </c>
      <c r="E118" s="2">
        <v>2007</v>
      </c>
      <c r="F118" s="2">
        <v>2007</v>
      </c>
      <c r="G118" s="2">
        <v>2007</v>
      </c>
      <c r="H118" s="2">
        <v>2007</v>
      </c>
      <c r="I118" s="2">
        <v>2007</v>
      </c>
      <c r="J118" s="2">
        <v>2007</v>
      </c>
      <c r="K118" s="2">
        <v>2007</v>
      </c>
      <c r="L118" s="2">
        <v>2007</v>
      </c>
      <c r="M118" s="2">
        <v>2007</v>
      </c>
      <c r="N118" s="2">
        <v>2007</v>
      </c>
      <c r="O118" s="2">
        <v>2007</v>
      </c>
      <c r="P118" s="2">
        <v>2007</v>
      </c>
      <c r="Q118" s="2">
        <v>2007</v>
      </c>
      <c r="R118" s="2">
        <v>2007</v>
      </c>
    </row>
    <row r="119" spans="1:18">
      <c r="A119" s="1" t="s">
        <v>0</v>
      </c>
      <c r="B119" s="3">
        <v>33756.759687976366</v>
      </c>
      <c r="C119" s="3">
        <v>33529.887474285228</v>
      </c>
      <c r="D119" s="3">
        <v>36126.744293439195</v>
      </c>
      <c r="E119" s="3">
        <v>34595.280026423476</v>
      </c>
      <c r="F119" s="3">
        <v>33500.756409107657</v>
      </c>
      <c r="G119" s="3">
        <v>30465.503789268641</v>
      </c>
      <c r="H119" s="3">
        <v>29007.909477229612</v>
      </c>
      <c r="I119" s="3">
        <v>41133.431839744735</v>
      </c>
      <c r="J119" s="3">
        <v>31635.876411114587</v>
      </c>
      <c r="K119" s="3">
        <v>37576.680805011172</v>
      </c>
      <c r="L119" s="3">
        <v>26228.27676503321</v>
      </c>
      <c r="M119" s="3">
        <v>49101.788076454257</v>
      </c>
      <c r="N119" s="3">
        <v>28527.088733447643</v>
      </c>
      <c r="O119" s="3">
        <v>34782.178304274887</v>
      </c>
      <c r="P119" s="3">
        <v>39223.889394590602</v>
      </c>
      <c r="Q119" s="3">
        <v>34972.873423006597</v>
      </c>
      <c r="R119" s="3">
        <v>45431.027015756699</v>
      </c>
    </row>
    <row r="120" spans="1:18">
      <c r="A120" s="1" t="s">
        <v>1</v>
      </c>
      <c r="B120" s="2">
        <v>49581</v>
      </c>
      <c r="C120" s="2">
        <v>55726</v>
      </c>
      <c r="D120" s="2">
        <v>49402</v>
      </c>
      <c r="E120" s="2">
        <v>47204</v>
      </c>
      <c r="F120" s="2">
        <v>51943</v>
      </c>
      <c r="G120" s="2">
        <v>52796</v>
      </c>
      <c r="H120" s="2">
        <v>46547</v>
      </c>
      <c r="I120" s="2">
        <v>53357</v>
      </c>
      <c r="J120" s="2">
        <v>44439</v>
      </c>
      <c r="K120" s="2">
        <v>46991</v>
      </c>
      <c r="L120" s="2">
        <v>36478</v>
      </c>
      <c r="M120" s="2">
        <v>52189</v>
      </c>
      <c r="N120" s="2">
        <v>38959</v>
      </c>
      <c r="O120" s="2">
        <v>50655</v>
      </c>
      <c r="P120" s="2">
        <v>42160</v>
      </c>
      <c r="Q120" s="2">
        <v>49487</v>
      </c>
      <c r="R120" s="2">
        <v>64740</v>
      </c>
    </row>
    <row r="121" spans="1:18">
      <c r="A121" s="1" t="s">
        <v>2</v>
      </c>
      <c r="B121" s="2">
        <v>28.861838108408961</v>
      </c>
      <c r="C121" s="2">
        <v>26.820421958518825</v>
      </c>
      <c r="D121" s="2">
        <v>25.17898598904673</v>
      </c>
      <c r="E121" s="2">
        <v>25.65234677312796</v>
      </c>
      <c r="F121" s="2">
        <v>28.011455263304232</v>
      </c>
      <c r="G121" s="2">
        <v>20.415820382369958</v>
      </c>
      <c r="H121" s="2">
        <v>21.865335975078434</v>
      </c>
      <c r="I121" s="2">
        <v>34.992922340399737</v>
      </c>
      <c r="J121" s="2">
        <v>24.574345894304443</v>
      </c>
      <c r="K121" s="2">
        <v>28.648082368352473</v>
      </c>
      <c r="L121" s="2">
        <v>23.015081607791686</v>
      </c>
      <c r="M121" s="2">
        <v>39.458343901545447</v>
      </c>
      <c r="N121" s="2">
        <v>24.255360766302587</v>
      </c>
      <c r="O121" s="2">
        <v>27.781094030808521</v>
      </c>
      <c r="P121" s="2">
        <v>32.466311051133495</v>
      </c>
      <c r="Q121" s="2">
        <v>15.642945105901132</v>
      </c>
      <c r="R121" s="2">
        <v>14.064805397584839</v>
      </c>
    </row>
    <row r="122" spans="1:18">
      <c r="A122" s="1" t="s">
        <v>3</v>
      </c>
      <c r="B122" s="2">
        <v>112.07015169514463</v>
      </c>
      <c r="C122" s="2">
        <v>161.2497952741837</v>
      </c>
      <c r="D122" s="2">
        <v>67.977280171340155</v>
      </c>
      <c r="E122" s="2">
        <v>102.15276204768107</v>
      </c>
      <c r="F122" s="2">
        <v>86.500027804037146</v>
      </c>
      <c r="G122" s="2">
        <v>55.261044212465869</v>
      </c>
      <c r="H122" s="2">
        <v>57.953045643731457</v>
      </c>
      <c r="I122" s="2">
        <v>151.48337592590644</v>
      </c>
      <c r="J122" s="2">
        <v>33.802764734045624</v>
      </c>
      <c r="K122" s="2">
        <v>140.17153660631055</v>
      </c>
      <c r="L122" s="2">
        <v>57.473869539020981</v>
      </c>
      <c r="M122" s="2">
        <v>74.571732688184639</v>
      </c>
      <c r="N122" s="2">
        <v>60.52730779054675</v>
      </c>
      <c r="O122" s="2">
        <v>96.279452005714617</v>
      </c>
      <c r="P122" s="2">
        <v>98.808652108509492</v>
      </c>
      <c r="Q122" s="2">
        <v>56.500337436150915</v>
      </c>
      <c r="R122" s="2">
        <v>28.911028663925855</v>
      </c>
    </row>
    <row r="123" spans="1:18">
      <c r="A123" s="6" t="s">
        <v>27</v>
      </c>
      <c r="B123" s="2">
        <v>79.982926829268308</v>
      </c>
      <c r="C123" s="2">
        <v>79.534146341463426</v>
      </c>
      <c r="D123" s="2">
        <v>80.804390243902446</v>
      </c>
      <c r="E123" s="2">
        <v>78.195121951219519</v>
      </c>
      <c r="F123" s="2">
        <v>79.263414634146358</v>
      </c>
      <c r="G123" s="2">
        <v>80.814634146341476</v>
      </c>
      <c r="H123" s="2">
        <v>81.285365853658533</v>
      </c>
      <c r="I123" s="2">
        <v>79.041463414634165</v>
      </c>
      <c r="J123" s="2">
        <v>82.507073170731715</v>
      </c>
      <c r="K123" s="2">
        <v>80.097560975609753</v>
      </c>
      <c r="L123" s="2">
        <v>80.151219512195127</v>
      </c>
      <c r="M123" s="2">
        <v>80.395121951219522</v>
      </c>
      <c r="N123" s="2">
        <v>80.873170731707319</v>
      </c>
      <c r="O123" s="2">
        <v>80.90000000000002</v>
      </c>
      <c r="P123" s="2">
        <v>81.741463414634154</v>
      </c>
      <c r="Q123" s="2">
        <v>79.448780487804882</v>
      </c>
      <c r="R123" s="2">
        <v>77.839024390243921</v>
      </c>
    </row>
    <row r="124" spans="1:18">
      <c r="A124" s="6" t="s">
        <v>47</v>
      </c>
      <c r="B124" s="2">
        <v>99.444730000000007</v>
      </c>
      <c r="C124" s="2">
        <v>112.27743</v>
      </c>
      <c r="D124" s="2">
        <v>101.18548</v>
      </c>
      <c r="E124" s="2">
        <v>118.53312</v>
      </c>
      <c r="F124" s="2">
        <v>110.30209000000001</v>
      </c>
      <c r="G124" s="2">
        <v>112.7526</v>
      </c>
      <c r="H124" s="2">
        <v>98.992540000000005</v>
      </c>
      <c r="I124" s="2">
        <v>112.63723</v>
      </c>
      <c r="J124" s="2">
        <v>101.11991</v>
      </c>
      <c r="K124" s="2">
        <v>119.64167</v>
      </c>
      <c r="L124" s="2">
        <v>119.26752</v>
      </c>
      <c r="M124" s="2">
        <v>113.56417999999999</v>
      </c>
      <c r="N124" s="2">
        <v>118.60097</v>
      </c>
      <c r="O124" s="2">
        <v>102.47962</v>
      </c>
      <c r="P124" s="2">
        <v>95.878290000000007</v>
      </c>
      <c r="Q124" s="2">
        <v>97.716040000000007</v>
      </c>
      <c r="R124" s="2">
        <v>97.208759999999998</v>
      </c>
    </row>
    <row r="125" spans="1:18">
      <c r="A125" s="3" t="s">
        <v>4</v>
      </c>
      <c r="B125" s="2">
        <f t="shared" ref="B125:R125" si="49">(B119-3425.309)/(49101.79-3425.309)</f>
        <v>0.66404963832429131</v>
      </c>
      <c r="C125" s="2">
        <f t="shared" si="49"/>
        <v>0.65908270110136613</v>
      </c>
      <c r="D125" s="2">
        <f t="shared" si="49"/>
        <v>0.71593596042215235</v>
      </c>
      <c r="E125" s="2">
        <f t="shared" si="49"/>
        <v>0.68240745223835164</v>
      </c>
      <c r="F125" s="2">
        <f t="shared" si="49"/>
        <v>0.65844493162920448</v>
      </c>
      <c r="G125" s="2">
        <f t="shared" si="49"/>
        <v>0.59199382696028269</v>
      </c>
      <c r="H125" s="2">
        <f t="shared" si="49"/>
        <v>0.56008256146592406</v>
      </c>
      <c r="I125" s="2">
        <f t="shared" si="49"/>
        <v>0.82554789717151666</v>
      </c>
      <c r="J125" s="2">
        <f t="shared" si="49"/>
        <v>0.61761691779878103</v>
      </c>
      <c r="K125" s="2">
        <f t="shared" si="49"/>
        <v>0.74767957288590536</v>
      </c>
      <c r="L125" s="2">
        <f t="shared" si="49"/>
        <v>0.49922777030553667</v>
      </c>
      <c r="M125" s="2">
        <f t="shared" si="49"/>
        <v>0.99999995788761087</v>
      </c>
      <c r="N125" s="2">
        <f t="shared" si="49"/>
        <v>0.54955590237889917</v>
      </c>
      <c r="O125" s="2">
        <f t="shared" si="49"/>
        <v>0.68649923588191664</v>
      </c>
      <c r="P125" s="2">
        <f t="shared" si="49"/>
        <v>0.78374208369052334</v>
      </c>
      <c r="Q125" s="2">
        <f t="shared" si="49"/>
        <v>0.69067414416199435</v>
      </c>
      <c r="R125" s="2">
        <f t="shared" si="49"/>
        <v>0.9196356001189474</v>
      </c>
    </row>
    <row r="126" spans="1:18">
      <c r="A126" s="3" t="s">
        <v>5</v>
      </c>
      <c r="B126" s="2">
        <f>(B120-7170)/(64740-7170)</f>
        <v>0.7366857738405419</v>
      </c>
      <c r="C126" s="2">
        <f t="shared" ref="C126:R126" si="50">(C120-7170)/(64740-7170)</f>
        <v>0.84342539517109605</v>
      </c>
      <c r="D126" s="2">
        <f t="shared" si="50"/>
        <v>0.73357651554629144</v>
      </c>
      <c r="E126" s="2">
        <f t="shared" si="50"/>
        <v>0.69539690811186383</v>
      </c>
      <c r="F126" s="2">
        <f t="shared" si="50"/>
        <v>0.77771408719819346</v>
      </c>
      <c r="G126" s="2">
        <f t="shared" si="50"/>
        <v>0.79253083203057151</v>
      </c>
      <c r="H126" s="2">
        <f t="shared" si="50"/>
        <v>0.6839847142608998</v>
      </c>
      <c r="I126" s="2">
        <f t="shared" si="50"/>
        <v>0.80227549070696547</v>
      </c>
      <c r="J126" s="2">
        <f t="shared" si="50"/>
        <v>0.64736842105263159</v>
      </c>
      <c r="K126" s="2">
        <f t="shared" si="50"/>
        <v>0.69169706444328638</v>
      </c>
      <c r="L126" s="2">
        <f t="shared" si="50"/>
        <v>0.50908459266979333</v>
      </c>
      <c r="M126" s="2">
        <f t="shared" si="50"/>
        <v>0.78198714608302933</v>
      </c>
      <c r="N126" s="2">
        <f t="shared" si="50"/>
        <v>0.55217995483758897</v>
      </c>
      <c r="O126" s="2">
        <f t="shared" si="50"/>
        <v>0.75534132360604478</v>
      </c>
      <c r="P126" s="2">
        <f t="shared" si="50"/>
        <v>0.60778183081466042</v>
      </c>
      <c r="Q126" s="2">
        <f t="shared" si="50"/>
        <v>0.73505297898210875</v>
      </c>
      <c r="R126" s="2">
        <f t="shared" si="50"/>
        <v>1</v>
      </c>
    </row>
    <row r="127" spans="1:18">
      <c r="A127" s="3" t="s">
        <v>6</v>
      </c>
      <c r="B127" s="2">
        <f>(B121-14.065)/(50.538-14.065)</f>
        <v>0.40569292650478328</v>
      </c>
      <c r="C127" s="2">
        <f t="shared" ref="C127:R127" si="51">(C121-14.065)/(50.538-14.065)</f>
        <v>0.34972231399991299</v>
      </c>
      <c r="D127" s="2">
        <f t="shared" si="51"/>
        <v>0.30471817478810986</v>
      </c>
      <c r="E127" s="2">
        <f t="shared" si="51"/>
        <v>0.3176965638452543</v>
      </c>
      <c r="F127" s="2">
        <f t="shared" si="51"/>
        <v>0.38237751935141701</v>
      </c>
      <c r="G127" s="2">
        <f t="shared" si="51"/>
        <v>0.17412388293724013</v>
      </c>
      <c r="H127" s="2">
        <f t="shared" si="51"/>
        <v>0.21386603720775463</v>
      </c>
      <c r="I127" s="2">
        <f t="shared" si="51"/>
        <v>0.57379218436651058</v>
      </c>
      <c r="J127" s="2">
        <f t="shared" si="51"/>
        <v>0.28814042975089638</v>
      </c>
      <c r="K127" s="2">
        <f t="shared" si="51"/>
        <v>0.39983226957893436</v>
      </c>
      <c r="L127" s="2">
        <f t="shared" si="51"/>
        <v>0.24538923608674051</v>
      </c>
      <c r="M127" s="2">
        <f t="shared" si="51"/>
        <v>0.69622306642024101</v>
      </c>
      <c r="N127" s="2">
        <f t="shared" si="51"/>
        <v>0.27939464168844319</v>
      </c>
      <c r="O127" s="2">
        <f t="shared" si="51"/>
        <v>0.37606158064344919</v>
      </c>
      <c r="P127" s="2">
        <f t="shared" si="51"/>
        <v>0.50451871387419456</v>
      </c>
      <c r="Q127" s="2">
        <f t="shared" si="51"/>
        <v>4.3263375809533981E-2</v>
      </c>
      <c r="R127" s="2">
        <f t="shared" si="51"/>
        <v>-5.3355198409784128E-6</v>
      </c>
    </row>
    <row r="128" spans="1:18">
      <c r="A128" s="3" t="s">
        <v>3</v>
      </c>
      <c r="B128" s="2">
        <f>(B122-28.911)/(192.468-28.911)</f>
        <v>0.50844140999862208</v>
      </c>
      <c r="C128" s="2">
        <f t="shared" ref="C128:R128" si="52">(C122-28.911)/(192.468-28.911)</f>
        <v>0.80912951004349376</v>
      </c>
      <c r="D128" s="2">
        <f t="shared" si="52"/>
        <v>0.2388542231230712</v>
      </c>
      <c r="E128" s="2">
        <f t="shared" si="52"/>
        <v>0.44780573162677884</v>
      </c>
      <c r="F128" s="2">
        <f t="shared" si="52"/>
        <v>0.35210371799456547</v>
      </c>
      <c r="G128" s="2">
        <f t="shared" si="52"/>
        <v>0.16110618446453451</v>
      </c>
      <c r="H128" s="2">
        <f t="shared" si="52"/>
        <v>0.17756528698699203</v>
      </c>
      <c r="I128" s="2">
        <f t="shared" si="52"/>
        <v>0.74941687562077108</v>
      </c>
      <c r="J128" s="2">
        <f t="shared" si="52"/>
        <v>2.9908623501565958E-2</v>
      </c>
      <c r="K128" s="2">
        <f t="shared" si="52"/>
        <v>0.68025542536431072</v>
      </c>
      <c r="L128" s="2">
        <f t="shared" si="52"/>
        <v>0.17463556765544111</v>
      </c>
      <c r="M128" s="2">
        <f t="shared" si="52"/>
        <v>0.27917320987903083</v>
      </c>
      <c r="N128" s="2">
        <f t="shared" si="52"/>
        <v>0.19330452252454344</v>
      </c>
      <c r="O128" s="2">
        <f t="shared" si="52"/>
        <v>0.4118958650850445</v>
      </c>
      <c r="P128" s="2">
        <f t="shared" si="52"/>
        <v>0.42735958784099426</v>
      </c>
      <c r="Q128" s="2">
        <f t="shared" si="52"/>
        <v>0.16868331796346789</v>
      </c>
      <c r="R128" s="2">
        <f t="shared" si="52"/>
        <v>1.7525343368564344E-7</v>
      </c>
    </row>
    <row r="129" spans="1:18">
      <c r="A129" s="3" t="s">
        <v>7</v>
      </c>
      <c r="B129" s="2">
        <f>(B123-64.069)/(82.507-64.069)</f>
        <v>0.86310482857513304</v>
      </c>
      <c r="C129" s="2">
        <f t="shared" ref="C129:R129" si="53">(C123-64.069)/(82.507-64.069)</f>
        <v>0.83876485201558859</v>
      </c>
      <c r="D129" s="2">
        <f t="shared" si="53"/>
        <v>0.90765756827760291</v>
      </c>
      <c r="E129" s="2">
        <f t="shared" si="53"/>
        <v>0.76614176978086101</v>
      </c>
      <c r="F129" s="2">
        <f t="shared" si="53"/>
        <v>0.8240814965910811</v>
      </c>
      <c r="G129" s="2">
        <f t="shared" si="53"/>
        <v>0.90821315469907093</v>
      </c>
      <c r="H129" s="2">
        <f t="shared" si="53"/>
        <v>0.93374367359033128</v>
      </c>
      <c r="I129" s="2">
        <f t="shared" si="53"/>
        <v>0.81204379079261091</v>
      </c>
      <c r="J129" s="2">
        <f t="shared" si="53"/>
        <v>1.0000039684744393</v>
      </c>
      <c r="K129" s="2">
        <f t="shared" si="53"/>
        <v>0.86932210519632003</v>
      </c>
      <c r="L129" s="2">
        <f t="shared" si="53"/>
        <v>0.87223231978496163</v>
      </c>
      <c r="M129" s="2">
        <f t="shared" si="53"/>
        <v>0.88546056791514904</v>
      </c>
      <c r="N129" s="2">
        <f t="shared" si="53"/>
        <v>0.91138793425031528</v>
      </c>
      <c r="O129" s="2">
        <f t="shared" si="53"/>
        <v>0.91284304154463691</v>
      </c>
      <c r="P129" s="2">
        <f t="shared" si="53"/>
        <v>0.95848049759378184</v>
      </c>
      <c r="Q129" s="2">
        <f t="shared" si="53"/>
        <v>0.83413496517002261</v>
      </c>
      <c r="R129" s="2">
        <f t="shared" si="53"/>
        <v>0.74682852751078843</v>
      </c>
    </row>
    <row r="130" spans="1:18">
      <c r="A130" s="4" t="s">
        <v>8</v>
      </c>
      <c r="B130" s="2">
        <f>(B124-57.04)/(119.642-57.04)</f>
        <v>0.67737021181431922</v>
      </c>
      <c r="C130" s="2">
        <f t="shared" ref="C130:R130" si="54">(C124-57.04)/(119.642-57.04)</f>
        <v>0.88235887032363181</v>
      </c>
      <c r="D130" s="2">
        <f t="shared" si="54"/>
        <v>0.70517683141113707</v>
      </c>
      <c r="E130" s="2">
        <f t="shared" si="54"/>
        <v>0.98228682789687227</v>
      </c>
      <c r="F130" s="2">
        <f t="shared" si="54"/>
        <v>0.85080492636018035</v>
      </c>
      <c r="G130" s="2">
        <f t="shared" si="54"/>
        <v>0.88994920290086588</v>
      </c>
      <c r="H130" s="2">
        <f t="shared" si="54"/>
        <v>0.67014696016101738</v>
      </c>
      <c r="I130" s="2">
        <f t="shared" si="54"/>
        <v>0.88810629053384882</v>
      </c>
      <c r="J130" s="2">
        <f t="shared" si="54"/>
        <v>0.70412942078527851</v>
      </c>
      <c r="K130" s="2">
        <f t="shared" si="54"/>
        <v>0.99999472860292016</v>
      </c>
      <c r="L130" s="2">
        <f t="shared" si="54"/>
        <v>0.99401808248937751</v>
      </c>
      <c r="M130" s="2">
        <f t="shared" si="54"/>
        <v>0.90291332545286085</v>
      </c>
      <c r="N130" s="2">
        <f t="shared" si="54"/>
        <v>0.98337065908437438</v>
      </c>
      <c r="O130" s="2">
        <f t="shared" si="54"/>
        <v>0.72584933388709627</v>
      </c>
      <c r="P130" s="2">
        <f t="shared" si="54"/>
        <v>0.62040014696016121</v>
      </c>
      <c r="Q130" s="2">
        <f t="shared" si="54"/>
        <v>0.64975623781987812</v>
      </c>
      <c r="R130" s="2">
        <f t="shared" si="54"/>
        <v>0.64165298233283286</v>
      </c>
    </row>
    <row r="131" spans="1:18">
      <c r="A131" s="4" t="s">
        <v>51</v>
      </c>
      <c r="B131" s="2">
        <f>(B125+B126+B127+B128+B129+B130)/6</f>
        <v>0.6425574648429484</v>
      </c>
      <c r="C131" s="2">
        <f t="shared" ref="C131:R131" si="55">(C125+C126+C127+C128+C129+C130)/6</f>
        <v>0.73041394044251484</v>
      </c>
      <c r="D131" s="2">
        <f t="shared" si="55"/>
        <v>0.60098654559472742</v>
      </c>
      <c r="E131" s="2">
        <f t="shared" si="55"/>
        <v>0.64862254224999694</v>
      </c>
      <c r="F131" s="2">
        <f t="shared" si="55"/>
        <v>0.64092111318744027</v>
      </c>
      <c r="G131" s="2">
        <f t="shared" si="55"/>
        <v>0.58631951399876092</v>
      </c>
      <c r="H131" s="2">
        <f t="shared" si="55"/>
        <v>0.53989820561215318</v>
      </c>
      <c r="I131" s="2">
        <f t="shared" si="55"/>
        <v>0.77519708819870392</v>
      </c>
      <c r="J131" s="2">
        <f t="shared" si="55"/>
        <v>0.54786129689393215</v>
      </c>
      <c r="K131" s="2">
        <f t="shared" si="55"/>
        <v>0.73146352767861289</v>
      </c>
      <c r="L131" s="2">
        <f t="shared" si="55"/>
        <v>0.54909792816530845</v>
      </c>
      <c r="M131" s="2">
        <f t="shared" si="55"/>
        <v>0.75762621227298699</v>
      </c>
      <c r="N131" s="2">
        <f t="shared" si="55"/>
        <v>0.57819893579402748</v>
      </c>
      <c r="O131" s="2">
        <f t="shared" si="55"/>
        <v>0.64474839677469808</v>
      </c>
      <c r="P131" s="2">
        <f t="shared" si="55"/>
        <v>0.6503804767957192</v>
      </c>
      <c r="Q131" s="2">
        <f t="shared" si="55"/>
        <v>0.52026083665116762</v>
      </c>
      <c r="R131" s="2">
        <f t="shared" si="55"/>
        <v>0.55135199161602688</v>
      </c>
    </row>
    <row r="133" spans="1:18">
      <c r="A133" s="1" t="s">
        <v>9</v>
      </c>
      <c r="B133" s="2" t="s">
        <v>10</v>
      </c>
      <c r="C133" s="2" t="s">
        <v>11</v>
      </c>
      <c r="D133" s="2" t="s">
        <v>12</v>
      </c>
      <c r="E133" s="2" t="s">
        <v>13</v>
      </c>
      <c r="F133" s="2" t="s">
        <v>14</v>
      </c>
      <c r="G133" s="2" t="s">
        <v>15</v>
      </c>
      <c r="H133" s="2" t="s">
        <v>16</v>
      </c>
      <c r="I133" s="2" t="s">
        <v>17</v>
      </c>
      <c r="J133" s="2" t="s">
        <v>18</v>
      </c>
      <c r="K133" s="2" t="s">
        <v>19</v>
      </c>
      <c r="L133" s="2" t="s">
        <v>20</v>
      </c>
      <c r="M133" s="2" t="s">
        <v>21</v>
      </c>
      <c r="N133" s="2" t="s">
        <v>22</v>
      </c>
      <c r="O133" s="2" t="s">
        <v>23</v>
      </c>
      <c r="P133" s="2" t="s">
        <v>24</v>
      </c>
      <c r="Q133" s="2" t="s">
        <v>25</v>
      </c>
      <c r="R133" s="2" t="s">
        <v>26</v>
      </c>
    </row>
    <row r="134" spans="1:18">
      <c r="B134" s="2">
        <v>2006</v>
      </c>
      <c r="C134" s="2">
        <v>2006</v>
      </c>
      <c r="D134" s="2">
        <v>2006</v>
      </c>
      <c r="E134" s="2">
        <v>2006</v>
      </c>
      <c r="F134" s="2">
        <v>2006</v>
      </c>
      <c r="G134" s="2">
        <v>2006</v>
      </c>
      <c r="H134" s="2">
        <v>2006</v>
      </c>
      <c r="I134" s="2">
        <v>2006</v>
      </c>
      <c r="J134" s="2">
        <v>2006</v>
      </c>
      <c r="K134" s="2">
        <v>2006</v>
      </c>
      <c r="L134" s="2">
        <v>2006</v>
      </c>
      <c r="M134" s="2">
        <v>2006</v>
      </c>
      <c r="N134" s="2">
        <v>2006</v>
      </c>
      <c r="O134" s="2">
        <v>2006</v>
      </c>
      <c r="P134" s="2">
        <v>2006</v>
      </c>
      <c r="Q134" s="2">
        <v>2006</v>
      </c>
      <c r="R134" s="2">
        <v>2006</v>
      </c>
    </row>
    <row r="135" spans="1:18">
      <c r="A135" s="1" t="s">
        <v>0</v>
      </c>
      <c r="B135" s="3">
        <v>11657.819050054351</v>
      </c>
      <c r="C135" s="3">
        <v>10502.479613569343</v>
      </c>
      <c r="D135" s="3">
        <v>13201.320631674997</v>
      </c>
      <c r="E135" s="3">
        <v>4611.3032281580763</v>
      </c>
      <c r="F135" s="3">
        <v>7651.4173193566376</v>
      </c>
      <c r="G135" s="3">
        <v>9649.3250535483839</v>
      </c>
      <c r="H135" s="3">
        <v>2406.3374680222551</v>
      </c>
      <c r="I135" s="3">
        <v>3267.0940642632245</v>
      </c>
      <c r="J135" s="3">
        <v>12572.797607271359</v>
      </c>
      <c r="K135" s="3">
        <v>12462.222444781049</v>
      </c>
      <c r="L135" s="3">
        <v>6765.484071018469</v>
      </c>
      <c r="M135" s="3">
        <v>3143.8885193878741</v>
      </c>
      <c r="N135" s="3">
        <v>7101.4002915966439</v>
      </c>
      <c r="O135" s="3">
        <v>7492.7288243954863</v>
      </c>
      <c r="P135" s="3">
        <v>12168.77335431475</v>
      </c>
      <c r="Q135" s="3">
        <v>10005.511177328313</v>
      </c>
      <c r="R135" s="3">
        <v>10658.03785979711</v>
      </c>
    </row>
    <row r="136" spans="1:18">
      <c r="A136" s="1" t="s">
        <v>1</v>
      </c>
      <c r="B136" s="2">
        <v>24428</v>
      </c>
      <c r="C136" s="2">
        <v>16505</v>
      </c>
      <c r="D136" s="2">
        <v>29349</v>
      </c>
      <c r="E136" s="2">
        <v>8780</v>
      </c>
      <c r="F136" s="2">
        <v>16576</v>
      </c>
      <c r="G136" s="2">
        <v>17434</v>
      </c>
      <c r="H136" s="2">
        <v>6720</v>
      </c>
      <c r="I136" s="2">
        <v>9491</v>
      </c>
      <c r="J136" s="2">
        <v>23173</v>
      </c>
      <c r="K136" s="2">
        <v>19869</v>
      </c>
      <c r="L136" s="2">
        <v>13170</v>
      </c>
      <c r="M136" s="2">
        <v>7603</v>
      </c>
      <c r="N136" s="2">
        <v>14936</v>
      </c>
      <c r="O136" s="2">
        <v>15643</v>
      </c>
      <c r="P136" s="2">
        <v>27943</v>
      </c>
      <c r="Q136" s="2">
        <v>21459</v>
      </c>
      <c r="R136" s="2">
        <v>28248</v>
      </c>
    </row>
    <row r="137" spans="1:18">
      <c r="A137" s="1" t="s">
        <v>2</v>
      </c>
      <c r="B137" s="2">
        <v>28.881277488921071</v>
      </c>
      <c r="C137" s="2">
        <v>14.554033548559328</v>
      </c>
      <c r="D137" s="2">
        <v>34.091588875916884</v>
      </c>
      <c r="E137" s="2">
        <v>50.6722974675762</v>
      </c>
      <c r="F137" s="2">
        <v>19.50413912028716</v>
      </c>
      <c r="G137" s="2">
        <v>20.268959143697959</v>
      </c>
      <c r="H137" s="2">
        <v>32.712848071099145</v>
      </c>
      <c r="I137" s="2">
        <v>30.812523108100585</v>
      </c>
      <c r="J137" s="2">
        <v>44.49678025828311</v>
      </c>
      <c r="K137" s="2">
        <v>24.958652086963358</v>
      </c>
      <c r="L137" s="2">
        <v>28.717652020039573</v>
      </c>
      <c r="M137" s="2">
        <v>16.224340154305079</v>
      </c>
      <c r="N137" s="2">
        <v>31.78721976040859</v>
      </c>
      <c r="O137" s="2">
        <v>21.565649170274565</v>
      </c>
      <c r="P137" s="2">
        <v>17.143709888299867</v>
      </c>
      <c r="Q137" s="2">
        <v>18.084007708987311</v>
      </c>
      <c r="R137" s="2">
        <v>41.293564500806042</v>
      </c>
    </row>
    <row r="138" spans="1:18">
      <c r="A138" s="1" t="s">
        <v>3</v>
      </c>
      <c r="B138" s="2">
        <v>43.991615025730503</v>
      </c>
      <c r="C138" s="2">
        <v>140.00542995813615</v>
      </c>
      <c r="D138" s="2">
        <v>72.065238071412679</v>
      </c>
      <c r="E138" s="2">
        <v>70.567071795757158</v>
      </c>
      <c r="F138" s="2">
        <v>38.173942036686832</v>
      </c>
      <c r="G138" s="2">
        <v>104.40636620127263</v>
      </c>
      <c r="H138" s="2">
        <v>45.297792982043219</v>
      </c>
      <c r="I138" s="2">
        <v>56.657126814886482</v>
      </c>
      <c r="J138" s="2">
        <v>202.5762960654304</v>
      </c>
      <c r="K138" s="2">
        <v>57.184241891627316</v>
      </c>
      <c r="L138" s="2">
        <v>48.385241900188433</v>
      </c>
      <c r="M138" s="2">
        <v>94.940825869676374</v>
      </c>
      <c r="N138" s="2">
        <v>143.80387151512585</v>
      </c>
      <c r="O138" s="2">
        <v>93.941135717423478</v>
      </c>
      <c r="P138" s="2">
        <v>50.250956306121253</v>
      </c>
      <c r="Q138" s="2">
        <v>61.971574505657777</v>
      </c>
      <c r="R138" s="2">
        <v>58.665591558460285</v>
      </c>
    </row>
    <row r="139" spans="1:18">
      <c r="A139" s="6" t="s">
        <v>27</v>
      </c>
      <c r="B139" s="5">
        <v>74.931439024390244</v>
      </c>
      <c r="C139" s="5">
        <v>72.612195121951217</v>
      </c>
      <c r="D139" s="5">
        <v>78.415853658536591</v>
      </c>
      <c r="E139" s="5">
        <v>72.389731707317083</v>
      </c>
      <c r="F139" s="5">
        <v>72.518756097560981</v>
      </c>
      <c r="G139" s="5">
        <v>78.695073170731717</v>
      </c>
      <c r="H139" s="5">
        <v>63.716804878048784</v>
      </c>
      <c r="I139" s="5">
        <v>67.376829268292695</v>
      </c>
      <c r="J139" s="5">
        <v>73.166609756097557</v>
      </c>
      <c r="K139" s="5">
        <v>75.749975609756106</v>
      </c>
      <c r="L139" s="5">
        <v>72.772195121951228</v>
      </c>
      <c r="M139" s="5">
        <v>67.599999999999994</v>
      </c>
      <c r="N139" s="5">
        <v>73.325414634146355</v>
      </c>
      <c r="O139" s="5">
        <v>73.900000000000006</v>
      </c>
      <c r="P139" s="5">
        <v>72.46273170731709</v>
      </c>
      <c r="Q139" s="5">
        <v>75.72975609756098</v>
      </c>
      <c r="R139" s="5">
        <v>73.367560975609763</v>
      </c>
    </row>
    <row r="140" spans="1:18">
      <c r="A140" s="6" t="s">
        <v>48</v>
      </c>
      <c r="B140" s="5">
        <v>84.749570000000006</v>
      </c>
      <c r="C140" s="5">
        <v>89.885729999999995</v>
      </c>
      <c r="D140" s="5">
        <v>90.921980000000005</v>
      </c>
      <c r="E140" s="5">
        <v>73.151340000000005</v>
      </c>
      <c r="F140" s="5">
        <v>86.110730000000004</v>
      </c>
      <c r="G140" s="5">
        <v>87.740449999999996</v>
      </c>
      <c r="H140" s="5">
        <v>54.671100000000003</v>
      </c>
      <c r="I140" s="5">
        <v>63.889800000000001</v>
      </c>
      <c r="J140" s="5">
        <v>70.278919999999999</v>
      </c>
      <c r="K140" s="5">
        <v>83.687920000000005</v>
      </c>
      <c r="L140" s="5">
        <v>87.682789999999997</v>
      </c>
      <c r="M140" s="5">
        <v>81.912469999999999</v>
      </c>
      <c r="N140" s="5">
        <v>71.013829999999999</v>
      </c>
      <c r="O140" s="5">
        <v>87.177419999999998</v>
      </c>
      <c r="P140" s="5">
        <v>85.259410000000003</v>
      </c>
      <c r="Q140" s="5">
        <v>101.02802</v>
      </c>
      <c r="R140" s="5">
        <v>77.220579999999998</v>
      </c>
    </row>
    <row r="141" spans="1:18">
      <c r="A141" s="3" t="s">
        <v>4</v>
      </c>
      <c r="B141" s="2">
        <f>(B135-2406.337)/(48330.28-2406.337)</f>
        <v>0.20145225879350892</v>
      </c>
      <c r="C141" s="2">
        <f t="shared" ref="C141:R141" si="56">(C135-2406.337)/(48330.28-2406.337)</f>
        <v>0.17629458806638934</v>
      </c>
      <c r="D141" s="2">
        <f t="shared" si="56"/>
        <v>0.23506221213790368</v>
      </c>
      <c r="E141" s="2">
        <f t="shared" si="56"/>
        <v>4.8013434477045584E-2</v>
      </c>
      <c r="F141" s="2">
        <f t="shared" si="56"/>
        <v>0.11421232535186791</v>
      </c>
      <c r="G141" s="2">
        <f t="shared" si="56"/>
        <v>0.15771703343391888</v>
      </c>
      <c r="H141" s="2">
        <f t="shared" si="56"/>
        <v>1.0191247190234965E-8</v>
      </c>
      <c r="I141" s="2">
        <f t="shared" si="56"/>
        <v>1.8743100178989957E-2</v>
      </c>
      <c r="J141" s="2">
        <f t="shared" si="56"/>
        <v>0.2213760392323316</v>
      </c>
      <c r="K141" s="2">
        <f t="shared" si="56"/>
        <v>0.21896825028245179</v>
      </c>
      <c r="L141" s="2">
        <f t="shared" si="56"/>
        <v>9.4921010397963204E-2</v>
      </c>
      <c r="M141" s="2">
        <f t="shared" si="56"/>
        <v>1.6060282963679187E-2</v>
      </c>
      <c r="N141" s="2">
        <f t="shared" si="56"/>
        <v>0.10223563102141825</v>
      </c>
      <c r="O141" s="2">
        <f t="shared" si="56"/>
        <v>0.11075686215348467</v>
      </c>
      <c r="P141" s="2">
        <f t="shared" si="56"/>
        <v>0.21257835709609582</v>
      </c>
      <c r="Q141" s="2">
        <f t="shared" si="56"/>
        <v>0.16547303391018306</v>
      </c>
      <c r="R141" s="2">
        <f t="shared" si="56"/>
        <v>0.17968188968001095</v>
      </c>
    </row>
    <row r="142" spans="1:18">
      <c r="A142" s="3" t="s">
        <v>5</v>
      </c>
      <c r="B142" s="2">
        <f>(B136-6720)/(64228-6720)</f>
        <v>0.30792237601724975</v>
      </c>
      <c r="C142" s="2">
        <f t="shared" ref="C142:R142" si="57">(C136-6720)/(64228-6720)</f>
        <v>0.17015023996661335</v>
      </c>
      <c r="D142" s="2">
        <f t="shared" si="57"/>
        <v>0.39349307922376014</v>
      </c>
      <c r="E142" s="2">
        <f t="shared" si="57"/>
        <v>3.5821103150865966E-2</v>
      </c>
      <c r="F142" s="2">
        <f t="shared" si="57"/>
        <v>0.17138485080336649</v>
      </c>
      <c r="G142" s="2">
        <f t="shared" si="57"/>
        <v>0.1863045141545524</v>
      </c>
      <c r="H142" s="2">
        <f t="shared" si="57"/>
        <v>0</v>
      </c>
      <c r="I142" s="2">
        <f t="shared" si="57"/>
        <v>4.818460040342213E-2</v>
      </c>
      <c r="J142" s="2">
        <f t="shared" si="57"/>
        <v>0.28609932531126103</v>
      </c>
      <c r="K142" s="2">
        <f t="shared" si="57"/>
        <v>0.22864644918967797</v>
      </c>
      <c r="L142" s="2">
        <f t="shared" si="57"/>
        <v>0.1121583084092648</v>
      </c>
      <c r="M142" s="2">
        <f t="shared" si="57"/>
        <v>1.5354385476803227E-2</v>
      </c>
      <c r="N142" s="2">
        <f t="shared" si="57"/>
        <v>0.14286707936287124</v>
      </c>
      <c r="O142" s="2">
        <f t="shared" si="57"/>
        <v>0.15516102107532864</v>
      </c>
      <c r="P142" s="2">
        <f t="shared" si="57"/>
        <v>0.36904430687904294</v>
      </c>
      <c r="Q142" s="2">
        <f t="shared" si="57"/>
        <v>0.2562947763789386</v>
      </c>
      <c r="R142" s="2">
        <f t="shared" si="57"/>
        <v>0.37434791681157403</v>
      </c>
    </row>
    <row r="143" spans="1:18">
      <c r="A143" s="3" t="s">
        <v>6</v>
      </c>
      <c r="B143" s="2">
        <f t="shared" ref="B143:R143" si="58">(B137-14.372)/(50.672-14.372)</f>
        <v>0.39970461401986429</v>
      </c>
      <c r="C143" s="2">
        <f t="shared" si="58"/>
        <v>5.0146983074195123E-3</v>
      </c>
      <c r="D143" s="2">
        <f t="shared" si="58"/>
        <v>0.54323936297291697</v>
      </c>
      <c r="E143" s="2">
        <f t="shared" si="58"/>
        <v>1.0000081946990689</v>
      </c>
      <c r="F143" s="2">
        <f t="shared" si="58"/>
        <v>0.14138124298311738</v>
      </c>
      <c r="G143" s="2">
        <f t="shared" si="58"/>
        <v>0.16245066511564626</v>
      </c>
      <c r="H143" s="2">
        <f t="shared" si="58"/>
        <v>0.50525752261981116</v>
      </c>
      <c r="I143" s="2">
        <f t="shared" si="58"/>
        <v>0.45290697267494728</v>
      </c>
      <c r="J143" s="2">
        <f t="shared" si="58"/>
        <v>0.82988375367171108</v>
      </c>
      <c r="K143" s="2">
        <f t="shared" si="58"/>
        <v>0.2916433081808088</v>
      </c>
      <c r="L143" s="2">
        <f t="shared" si="58"/>
        <v>0.39519702534544282</v>
      </c>
      <c r="M143" s="2">
        <f t="shared" si="58"/>
        <v>5.1028654388569669E-2</v>
      </c>
      <c r="N143" s="2">
        <f t="shared" si="58"/>
        <v>0.47975812012144881</v>
      </c>
      <c r="O143" s="2">
        <f t="shared" si="58"/>
        <v>0.19817215345108996</v>
      </c>
      <c r="P143" s="2">
        <f t="shared" si="58"/>
        <v>7.635564430578147E-2</v>
      </c>
      <c r="Q143" s="2">
        <f t="shared" si="58"/>
        <v>0.10225916553684054</v>
      </c>
      <c r="R143" s="2">
        <f t="shared" si="58"/>
        <v>0.74164089533900945</v>
      </c>
    </row>
    <row r="144" spans="1:18">
      <c r="A144" s="3" t="s">
        <v>3</v>
      </c>
      <c r="B144" s="2">
        <f t="shared" ref="B144:R144" si="59">(B138-27.874)/(2202.576-27.874)</f>
        <v>7.4114131617713614E-3</v>
      </c>
      <c r="C144" s="2">
        <f t="shared" si="59"/>
        <v>5.1561744992250039E-2</v>
      </c>
      <c r="D144" s="2">
        <f t="shared" si="59"/>
        <v>2.0320594762598589E-2</v>
      </c>
      <c r="E144" s="2">
        <f t="shared" si="59"/>
        <v>1.963168829373273E-2</v>
      </c>
      <c r="F144" s="2">
        <f t="shared" si="59"/>
        <v>4.7362544554089853E-3</v>
      </c>
      <c r="G144" s="2">
        <f t="shared" si="59"/>
        <v>3.5192116529654469E-2</v>
      </c>
      <c r="H144" s="2">
        <f t="shared" si="59"/>
        <v>8.0120370432561414E-3</v>
      </c>
      <c r="I144" s="2">
        <f t="shared" si="59"/>
        <v>1.3235434930802694E-2</v>
      </c>
      <c r="J144" s="2">
        <f t="shared" si="59"/>
        <v>8.0333901410598041E-2</v>
      </c>
      <c r="K144" s="2">
        <f t="shared" si="59"/>
        <v>1.3477819899750547E-2</v>
      </c>
      <c r="L144" s="2">
        <f t="shared" si="59"/>
        <v>9.4317483039921945E-3</v>
      </c>
      <c r="M144" s="2">
        <f t="shared" si="59"/>
        <v>3.083954761143199E-2</v>
      </c>
      <c r="N144" s="2">
        <f t="shared" si="59"/>
        <v>5.3308394214529549E-2</v>
      </c>
      <c r="O144" s="2">
        <f t="shared" si="59"/>
        <v>3.0379856972322403E-2</v>
      </c>
      <c r="P144" s="2">
        <f t="shared" si="59"/>
        <v>1.0289665575385158E-2</v>
      </c>
      <c r="Q144" s="2">
        <f t="shared" si="59"/>
        <v>1.5679193979523526E-2</v>
      </c>
      <c r="R144" s="2">
        <f t="shared" si="59"/>
        <v>1.4158993534958024E-2</v>
      </c>
    </row>
    <row r="145" spans="1:18">
      <c r="A145" s="4" t="s">
        <v>7</v>
      </c>
      <c r="B145" s="2">
        <f t="shared" ref="B145:R145" si="60">(B139-63.717)/(82.322-63.717)</f>
        <v>0.60276479572105579</v>
      </c>
      <c r="C145" s="2">
        <f t="shared" si="60"/>
        <v>0.47810777328412879</v>
      </c>
      <c r="D145" s="2">
        <f t="shared" si="60"/>
        <v>0.79004857073564039</v>
      </c>
      <c r="E145" s="2">
        <f t="shared" si="60"/>
        <v>0.46615058894475042</v>
      </c>
      <c r="F145" s="2">
        <f t="shared" si="60"/>
        <v>0.47308551989040476</v>
      </c>
      <c r="G145" s="2">
        <f t="shared" si="60"/>
        <v>0.80505633812048993</v>
      </c>
      <c r="H145" s="2">
        <f t="shared" si="60"/>
        <v>-1.048760823515568E-5</v>
      </c>
      <c r="I145" s="2">
        <f t="shared" si="60"/>
        <v>0.19671213481820457</v>
      </c>
      <c r="J145" s="2">
        <f t="shared" si="60"/>
        <v>0.50790700113397236</v>
      </c>
      <c r="K145" s="2">
        <f t="shared" si="60"/>
        <v>0.64676031226853559</v>
      </c>
      <c r="L145" s="2">
        <f t="shared" si="60"/>
        <v>0.48670761203715274</v>
      </c>
      <c r="M145" s="2">
        <f t="shared" si="60"/>
        <v>0.20870733673743588</v>
      </c>
      <c r="N145" s="2">
        <f t="shared" si="60"/>
        <v>0.51644260328655489</v>
      </c>
      <c r="O145" s="2">
        <f t="shared" si="60"/>
        <v>0.5473259876377321</v>
      </c>
      <c r="P145" s="2">
        <f t="shared" si="60"/>
        <v>0.47007426537581776</v>
      </c>
      <c r="Q145" s="2">
        <f t="shared" si="60"/>
        <v>0.64567353386514259</v>
      </c>
      <c r="R145" s="2">
        <f t="shared" si="60"/>
        <v>0.51870792666539978</v>
      </c>
    </row>
    <row r="146" spans="1:18">
      <c r="A146" s="4" t="s">
        <v>8</v>
      </c>
      <c r="B146" s="2">
        <f t="shared" ref="B146:R146" si="61">(B140-54.671)/(119.836-54.671)</f>
        <v>0.46157553901634329</v>
      </c>
      <c r="C146" s="2">
        <f t="shared" si="61"/>
        <v>0.54039330929179774</v>
      </c>
      <c r="D146" s="2">
        <f t="shared" si="61"/>
        <v>0.55629525051791617</v>
      </c>
      <c r="E146" s="2">
        <f t="shared" si="61"/>
        <v>0.28359303306989958</v>
      </c>
      <c r="F146" s="2">
        <f t="shared" si="61"/>
        <v>0.48246343896263344</v>
      </c>
      <c r="G146" s="2">
        <f t="shared" si="61"/>
        <v>0.5074725696309369</v>
      </c>
      <c r="H146" s="2">
        <f t="shared" si="61"/>
        <v>1.5345661014857618E-6</v>
      </c>
      <c r="I146" s="2">
        <f t="shared" si="61"/>
        <v>0.14146857975907318</v>
      </c>
      <c r="J146" s="2">
        <f t="shared" si="61"/>
        <v>0.23951384945906548</v>
      </c>
      <c r="K146" s="2">
        <f t="shared" si="61"/>
        <v>0.44528381800046052</v>
      </c>
      <c r="L146" s="2">
        <f t="shared" si="61"/>
        <v>0.5065877388168496</v>
      </c>
      <c r="M146" s="2">
        <f t="shared" si="61"/>
        <v>0.41803836415253592</v>
      </c>
      <c r="N146" s="2">
        <f t="shared" si="61"/>
        <v>0.2507915291951201</v>
      </c>
      <c r="O146" s="2">
        <f t="shared" si="61"/>
        <v>0.49883250211002844</v>
      </c>
      <c r="P146" s="2">
        <f t="shared" si="61"/>
        <v>0.46939937082789851</v>
      </c>
      <c r="Q146" s="2">
        <f t="shared" si="61"/>
        <v>0.71137911455535952</v>
      </c>
      <c r="R146" s="2">
        <f t="shared" si="61"/>
        <v>0.34603821069592577</v>
      </c>
    </row>
    <row r="147" spans="1:18">
      <c r="A147" s="3" t="s">
        <v>52</v>
      </c>
      <c r="B147" s="2">
        <f t="shared" ref="B147:R147" si="62">(B141+B142+B143+B144+B145+B146)/6</f>
        <v>0.33013849945496559</v>
      </c>
      <c r="C147" s="2">
        <f t="shared" si="62"/>
        <v>0.2369203923180998</v>
      </c>
      <c r="D147" s="2">
        <f t="shared" si="62"/>
        <v>0.42307651172512273</v>
      </c>
      <c r="E147" s="2">
        <f t="shared" si="62"/>
        <v>0.30886967377256047</v>
      </c>
      <c r="F147" s="2">
        <f t="shared" si="62"/>
        <v>0.23121060540779981</v>
      </c>
      <c r="G147" s="2">
        <f t="shared" si="62"/>
        <v>0.30903220616419985</v>
      </c>
      <c r="H147" s="2">
        <f t="shared" si="62"/>
        <v>8.5543436135363471E-2</v>
      </c>
      <c r="I147" s="2">
        <f t="shared" si="62"/>
        <v>0.14520847046090665</v>
      </c>
      <c r="J147" s="2">
        <f t="shared" si="62"/>
        <v>0.36085231170315657</v>
      </c>
      <c r="K147" s="2">
        <f t="shared" si="62"/>
        <v>0.30746332630361417</v>
      </c>
      <c r="L147" s="2">
        <f t="shared" si="62"/>
        <v>0.26750057388511089</v>
      </c>
      <c r="M147" s="2">
        <f t="shared" si="62"/>
        <v>0.12333809522174265</v>
      </c>
      <c r="N147" s="2">
        <f t="shared" si="62"/>
        <v>0.25756722620032385</v>
      </c>
      <c r="O147" s="2">
        <f t="shared" si="62"/>
        <v>0.25677139723333103</v>
      </c>
      <c r="P147" s="2">
        <f t="shared" si="62"/>
        <v>0.26795693501000362</v>
      </c>
      <c r="Q147" s="2">
        <f t="shared" si="62"/>
        <v>0.31612646970433134</v>
      </c>
      <c r="R147" s="2">
        <f t="shared" si="62"/>
        <v>0.36242930545447966</v>
      </c>
    </row>
    <row r="149" spans="1:18">
      <c r="A149" s="1" t="s">
        <v>9</v>
      </c>
      <c r="B149" s="2" t="s">
        <v>28</v>
      </c>
      <c r="C149" s="2" t="s">
        <v>29</v>
      </c>
      <c r="D149" s="2" t="s">
        <v>30</v>
      </c>
      <c r="E149" s="2" t="s">
        <v>31</v>
      </c>
      <c r="F149" s="2" t="s">
        <v>32</v>
      </c>
      <c r="G149" s="2" t="s">
        <v>33</v>
      </c>
      <c r="H149" s="2" t="s">
        <v>34</v>
      </c>
      <c r="I149" s="2" t="s">
        <v>35</v>
      </c>
      <c r="J149" s="2" t="s">
        <v>36</v>
      </c>
      <c r="K149" s="2" t="s">
        <v>37</v>
      </c>
      <c r="L149" s="2" t="s">
        <v>38</v>
      </c>
      <c r="M149" s="2" t="s">
        <v>39</v>
      </c>
      <c r="N149" s="2" t="s">
        <v>40</v>
      </c>
      <c r="O149" s="2" t="s">
        <v>41</v>
      </c>
      <c r="P149" s="2" t="s">
        <v>42</v>
      </c>
      <c r="Q149" s="2" t="s">
        <v>43</v>
      </c>
      <c r="R149" s="2" t="s">
        <v>44</v>
      </c>
    </row>
    <row r="150" spans="1:18">
      <c r="B150" s="2">
        <v>2006</v>
      </c>
      <c r="C150" s="2">
        <v>2006</v>
      </c>
      <c r="D150" s="2">
        <v>2006</v>
      </c>
      <c r="E150" s="2">
        <v>2006</v>
      </c>
      <c r="F150" s="2">
        <v>2006</v>
      </c>
      <c r="G150" s="2">
        <v>2006</v>
      </c>
      <c r="H150" s="2">
        <v>2006</v>
      </c>
      <c r="I150" s="2">
        <v>2006</v>
      </c>
      <c r="J150" s="2">
        <v>2006</v>
      </c>
      <c r="K150" s="2">
        <v>2006</v>
      </c>
      <c r="L150" s="2">
        <v>2006</v>
      </c>
      <c r="M150" s="2">
        <v>2006</v>
      </c>
      <c r="N150" s="2">
        <v>2006</v>
      </c>
      <c r="O150" s="2">
        <v>2006</v>
      </c>
      <c r="P150" s="2">
        <v>2006</v>
      </c>
      <c r="Q150" s="2">
        <v>2006</v>
      </c>
      <c r="R150" s="2">
        <v>2006</v>
      </c>
    </row>
    <row r="151" spans="1:18">
      <c r="A151" s="1" t="s">
        <v>0</v>
      </c>
      <c r="B151" s="3">
        <v>33024.432026646347</v>
      </c>
      <c r="C151" s="3">
        <v>32830.442334683059</v>
      </c>
      <c r="D151" s="3">
        <v>35730.416473825106</v>
      </c>
      <c r="E151" s="3">
        <v>34207.445516891079</v>
      </c>
      <c r="F151" s="3">
        <v>31939.536037927082</v>
      </c>
      <c r="G151" s="3">
        <v>29969.54093088811</v>
      </c>
      <c r="H151" s="3">
        <v>28737.724198983302</v>
      </c>
      <c r="I151" s="3">
        <v>39893.755152122314</v>
      </c>
      <c r="J151" s="3">
        <v>30960.810293420542</v>
      </c>
      <c r="K151" s="3">
        <v>36237.750370364345</v>
      </c>
      <c r="L151" s="3">
        <v>25590.505975424621</v>
      </c>
      <c r="M151" s="3">
        <v>48330.283830852393</v>
      </c>
      <c r="N151" s="3">
        <v>28044.430461023447</v>
      </c>
      <c r="O151" s="3">
        <v>33916.973410656028</v>
      </c>
      <c r="P151" s="3">
        <v>38110.382924033423</v>
      </c>
      <c r="Q151" s="3">
        <v>34032.184208143372</v>
      </c>
      <c r="R151" s="3">
        <v>45058.649753158315</v>
      </c>
    </row>
    <row r="152" spans="1:18">
      <c r="A152" s="1" t="s">
        <v>1</v>
      </c>
      <c r="B152" s="2">
        <v>48671</v>
      </c>
      <c r="C152" s="2">
        <v>55047</v>
      </c>
      <c r="D152" s="2">
        <v>49501</v>
      </c>
      <c r="E152" s="2">
        <v>47751</v>
      </c>
      <c r="F152" s="2">
        <v>50384</v>
      </c>
      <c r="G152" s="2">
        <v>52349</v>
      </c>
      <c r="H152" s="2">
        <v>46445</v>
      </c>
      <c r="I152" s="2">
        <v>52576</v>
      </c>
      <c r="J152" s="2">
        <v>43648</v>
      </c>
      <c r="K152" s="2">
        <v>46373</v>
      </c>
      <c r="L152" s="2">
        <v>36109</v>
      </c>
      <c r="M152" s="2">
        <v>52891</v>
      </c>
      <c r="N152" s="2">
        <v>38789</v>
      </c>
      <c r="O152" s="2">
        <v>50161</v>
      </c>
      <c r="P152" s="2">
        <v>41735</v>
      </c>
      <c r="Q152" s="2">
        <v>48520</v>
      </c>
      <c r="R152" s="2">
        <v>64228</v>
      </c>
    </row>
    <row r="153" spans="1:18">
      <c r="A153" s="1" t="s">
        <v>2</v>
      </c>
      <c r="B153" s="2">
        <v>27.38665054227511</v>
      </c>
      <c r="C153" s="2">
        <v>26.26141285767606</v>
      </c>
      <c r="D153" s="2">
        <v>25.530524232886677</v>
      </c>
      <c r="E153" s="2">
        <v>25.892174774263495</v>
      </c>
      <c r="F153" s="2">
        <v>26.024190872620878</v>
      </c>
      <c r="G153" s="2">
        <v>19.817390243913831</v>
      </c>
      <c r="H153" s="2">
        <v>20.990399108902956</v>
      </c>
      <c r="I153" s="2">
        <v>37.603453116045905</v>
      </c>
      <c r="J153" s="2">
        <v>23.937361724299222</v>
      </c>
      <c r="K153" s="2">
        <v>27.747974884120424</v>
      </c>
      <c r="L153" s="2">
        <v>21.740454519609354</v>
      </c>
      <c r="M153" s="2">
        <v>40.214810980002305</v>
      </c>
      <c r="N153" s="2">
        <v>24.582795138131413</v>
      </c>
      <c r="O153" s="2">
        <v>26.827283595066021</v>
      </c>
      <c r="P153" s="2">
        <v>30.700407539135593</v>
      </c>
      <c r="Q153" s="2">
        <v>14.829836245843515</v>
      </c>
      <c r="R153" s="2">
        <v>14.372300874985919</v>
      </c>
    </row>
    <row r="154" spans="1:18">
      <c r="A154" s="1" t="s">
        <v>3</v>
      </c>
      <c r="B154" s="2">
        <v>107.66253790996323</v>
      </c>
      <c r="C154" s="2">
        <v>157.71589159079005</v>
      </c>
      <c r="D154" s="2">
        <v>69.756309444603403</v>
      </c>
      <c r="E154" s="2">
        <v>100.96147540631959</v>
      </c>
      <c r="F154" s="2">
        <v>86.267306126142429</v>
      </c>
      <c r="G154" s="2">
        <v>55.092517647866991</v>
      </c>
      <c r="H154" s="2">
        <v>56.055402022361044</v>
      </c>
      <c r="I154" s="2">
        <v>148.22457180591644</v>
      </c>
      <c r="J154" s="2">
        <v>31.086469556155972</v>
      </c>
      <c r="K154" s="2">
        <v>137.93445584729071</v>
      </c>
      <c r="L154" s="2">
        <v>58.650654752935814</v>
      </c>
      <c r="M154" s="2">
        <v>73.534219766040081</v>
      </c>
      <c r="N154" s="2">
        <v>58.944931089029751</v>
      </c>
      <c r="O154" s="2">
        <v>94.117704993751019</v>
      </c>
      <c r="P154" s="2">
        <v>93.622270959090031</v>
      </c>
      <c r="Q154" s="2">
        <v>60.862899118408407</v>
      </c>
      <c r="R154" s="2">
        <v>27.874122197604116</v>
      </c>
    </row>
    <row r="155" spans="1:18">
      <c r="A155" s="6" t="s">
        <v>27</v>
      </c>
      <c r="B155" s="2">
        <v>79.831707317073182</v>
      </c>
      <c r="C155" s="2">
        <v>79.777236585365856</v>
      </c>
      <c r="D155" s="2">
        <v>80.643902439024387</v>
      </c>
      <c r="E155" s="2">
        <v>78.095121951219539</v>
      </c>
      <c r="F155" s="2">
        <v>79.214634146341467</v>
      </c>
      <c r="G155" s="2">
        <v>80.514634146341479</v>
      </c>
      <c r="H155" s="2">
        <v>81.131707317073179</v>
      </c>
      <c r="I155" s="2">
        <v>78.760487804878053</v>
      </c>
      <c r="J155" s="2">
        <v>82.321951219512201</v>
      </c>
      <c r="K155" s="2">
        <v>79.697560975609761</v>
      </c>
      <c r="L155" s="2">
        <v>80.048780487804891</v>
      </c>
      <c r="M155" s="2">
        <v>80.34390243902439</v>
      </c>
      <c r="N155" s="2">
        <v>80.821951219512201</v>
      </c>
      <c r="O155" s="2">
        <v>80.748780487804893</v>
      </c>
      <c r="P155" s="2">
        <v>81.490243902439033</v>
      </c>
      <c r="Q155" s="2">
        <v>79.248780487804893</v>
      </c>
      <c r="R155" s="2">
        <v>77.587804878048786</v>
      </c>
    </row>
    <row r="156" spans="1:18">
      <c r="A156" s="6" t="s">
        <v>8</v>
      </c>
      <c r="B156" s="2">
        <v>99.984290000000001</v>
      </c>
      <c r="C156" s="2">
        <v>112.1187</v>
      </c>
      <c r="D156" s="2">
        <v>101.35017999999999</v>
      </c>
      <c r="E156" s="2">
        <v>119.83638000000001</v>
      </c>
      <c r="F156" s="2">
        <v>111.66109</v>
      </c>
      <c r="G156" s="2">
        <v>112.97580000000001</v>
      </c>
      <c r="H156" s="2">
        <v>99.107320000000001</v>
      </c>
      <c r="I156" s="2">
        <v>111.35705</v>
      </c>
      <c r="J156" s="2">
        <v>101.48296999999999</v>
      </c>
      <c r="K156" s="2">
        <v>118.87134</v>
      </c>
      <c r="L156" s="2">
        <v>118.35297</v>
      </c>
      <c r="M156" s="2">
        <v>114.03919999999999</v>
      </c>
      <c r="N156" s="2">
        <v>118.99332</v>
      </c>
      <c r="O156" s="2">
        <v>103.38203</v>
      </c>
      <c r="P156" s="2">
        <v>95.764120000000005</v>
      </c>
      <c r="Q156" s="2">
        <v>98.498090000000005</v>
      </c>
      <c r="R156" s="2">
        <v>97.008889999999994</v>
      </c>
    </row>
    <row r="157" spans="1:18">
      <c r="A157" s="3" t="s">
        <v>4</v>
      </c>
      <c r="B157" s="2">
        <f t="shared" ref="B157:R157" si="63">(B151-2406.337)/(48330.28-2406.337)</f>
        <v>0.6667131136071297</v>
      </c>
      <c r="C157" s="2">
        <f t="shared" si="63"/>
        <v>0.6624889621233756</v>
      </c>
      <c r="D157" s="2">
        <f t="shared" si="63"/>
        <v>0.72563628680196535</v>
      </c>
      <c r="E157" s="2">
        <f t="shared" si="63"/>
        <v>0.69247339055557755</v>
      </c>
      <c r="F157" s="2">
        <f t="shared" si="63"/>
        <v>0.64308935837515269</v>
      </c>
      <c r="G157" s="2">
        <f t="shared" si="63"/>
        <v>0.60019245148196687</v>
      </c>
      <c r="H157" s="2">
        <f t="shared" si="63"/>
        <v>0.57336947742016187</v>
      </c>
      <c r="I157" s="2">
        <f t="shared" si="63"/>
        <v>0.81629354326396397</v>
      </c>
      <c r="J157" s="2">
        <f t="shared" si="63"/>
        <v>0.62177747440851372</v>
      </c>
      <c r="K157" s="2">
        <f t="shared" si="63"/>
        <v>0.73668355024228527</v>
      </c>
      <c r="L157" s="2">
        <f t="shared" si="63"/>
        <v>0.50483837974070789</v>
      </c>
      <c r="M157" s="2">
        <f t="shared" si="63"/>
        <v>1.0000000834173233</v>
      </c>
      <c r="N157" s="2">
        <f t="shared" si="63"/>
        <v>0.55827291356544551</v>
      </c>
      <c r="O157" s="2">
        <f t="shared" si="63"/>
        <v>0.68614832159895389</v>
      </c>
      <c r="P157" s="2">
        <f t="shared" si="63"/>
        <v>0.77746037451604333</v>
      </c>
      <c r="Q157" s="2">
        <f t="shared" si="63"/>
        <v>0.68865705212079398</v>
      </c>
      <c r="R157" s="2">
        <f t="shared" si="63"/>
        <v>0.92875981387657236</v>
      </c>
    </row>
    <row r="158" spans="1:18">
      <c r="A158" s="3" t="s">
        <v>5</v>
      </c>
      <c r="B158" s="2">
        <f t="shared" ref="B158:R158" si="64">(B152-6720)/(64228-6720)</f>
        <v>0.72948111567086316</v>
      </c>
      <c r="C158" s="2">
        <f t="shared" si="64"/>
        <v>0.84035264658830078</v>
      </c>
      <c r="D158" s="2">
        <f t="shared" si="64"/>
        <v>0.74391389024135768</v>
      </c>
      <c r="E158" s="2">
        <f t="shared" si="64"/>
        <v>0.71348334144814629</v>
      </c>
      <c r="F158" s="2">
        <f t="shared" si="64"/>
        <v>0.75926827571816091</v>
      </c>
      <c r="G158" s="2">
        <f t="shared" si="64"/>
        <v>0.79343743479168116</v>
      </c>
      <c r="H158" s="2">
        <f t="shared" si="64"/>
        <v>0.69077345760589826</v>
      </c>
      <c r="I158" s="2">
        <f t="shared" si="64"/>
        <v>0.79738471169228631</v>
      </c>
      <c r="J158" s="2">
        <f t="shared" si="64"/>
        <v>0.64213674619183414</v>
      </c>
      <c r="K158" s="2">
        <f t="shared" si="64"/>
        <v>0.68952145788412045</v>
      </c>
      <c r="L158" s="2">
        <f t="shared" si="64"/>
        <v>0.51104194199067954</v>
      </c>
      <c r="M158" s="2">
        <f t="shared" si="64"/>
        <v>0.80286221047506434</v>
      </c>
      <c r="N158" s="2">
        <f t="shared" si="64"/>
        <v>0.55764415385685473</v>
      </c>
      <c r="O158" s="2">
        <f t="shared" si="64"/>
        <v>0.75539055435765456</v>
      </c>
      <c r="P158" s="2">
        <f t="shared" si="64"/>
        <v>0.60887180913959793</v>
      </c>
      <c r="Q158" s="2">
        <f t="shared" si="64"/>
        <v>0.72685539403213462</v>
      </c>
      <c r="R158" s="2">
        <f t="shared" si="64"/>
        <v>1</v>
      </c>
    </row>
    <row r="159" spans="1:18">
      <c r="A159" s="3" t="s">
        <v>6</v>
      </c>
      <c r="B159" s="2">
        <f>(B153-14.372)/(50.672-14.372)</f>
        <v>0.3585303179690113</v>
      </c>
      <c r="C159" s="2">
        <f>(C153-14.372)/(50.672-14.372)</f>
        <v>0.32753203464672342</v>
      </c>
      <c r="D159" s="2">
        <f t="shared" ref="D159:R159" si="65">(D153-14.372)/(50.672-14.372)</f>
        <v>0.30739736178751176</v>
      </c>
      <c r="E159" s="2">
        <f t="shared" si="65"/>
        <v>0.31736018661882909</v>
      </c>
      <c r="F159" s="2">
        <f t="shared" si="65"/>
        <v>0.32099699373611235</v>
      </c>
      <c r="G159" s="2">
        <f t="shared" si="65"/>
        <v>0.15001075052104218</v>
      </c>
      <c r="H159" s="2">
        <f t="shared" si="65"/>
        <v>0.18232504432239549</v>
      </c>
      <c r="I159" s="2">
        <f t="shared" si="65"/>
        <v>0.63998493432633352</v>
      </c>
      <c r="J159" s="2">
        <f t="shared" si="65"/>
        <v>0.2635085874462596</v>
      </c>
      <c r="K159" s="2">
        <f t="shared" si="65"/>
        <v>0.36848415658733952</v>
      </c>
      <c r="L159" s="2">
        <f t="shared" si="65"/>
        <v>0.2029877278129299</v>
      </c>
      <c r="M159" s="2">
        <f t="shared" si="65"/>
        <v>0.71192316749317652</v>
      </c>
      <c r="N159" s="2">
        <f t="shared" si="65"/>
        <v>0.28128912226257341</v>
      </c>
      <c r="O159" s="2">
        <f t="shared" si="65"/>
        <v>0.34312076019465626</v>
      </c>
      <c r="P159" s="2">
        <f t="shared" si="65"/>
        <v>0.44981838950786762</v>
      </c>
      <c r="Q159" s="2">
        <f t="shared" si="65"/>
        <v>1.2612568756019692E-2</v>
      </c>
      <c r="R159" s="2">
        <f t="shared" si="65"/>
        <v>8.2885671052193868E-6</v>
      </c>
    </row>
    <row r="160" spans="1:18">
      <c r="A160" s="3" t="s">
        <v>3</v>
      </c>
      <c r="B160" s="2">
        <f>(B154-27.874)/(2202.576-27.874)</f>
        <v>3.6689412117137533E-2</v>
      </c>
      <c r="C160" s="2">
        <f t="shared" ref="C160:R160" si="66">(C154-27.874)/(2202.576-27.874)</f>
        <v>5.9705601774767324E-2</v>
      </c>
      <c r="D160" s="2">
        <f t="shared" si="66"/>
        <v>1.9258872914359487E-2</v>
      </c>
      <c r="E160" s="2">
        <f t="shared" si="66"/>
        <v>3.3608041656429062E-2</v>
      </c>
      <c r="F160" s="2">
        <f t="shared" si="66"/>
        <v>2.6851175989235504E-2</v>
      </c>
      <c r="G160" s="2">
        <f t="shared" si="66"/>
        <v>1.2515975820074195E-2</v>
      </c>
      <c r="H160" s="2">
        <f t="shared" si="66"/>
        <v>1.2958741943659886E-2</v>
      </c>
      <c r="I160" s="2">
        <f t="shared" si="66"/>
        <v>5.5341178610180355E-2</v>
      </c>
      <c r="J160" s="2">
        <f t="shared" si="66"/>
        <v>1.4771998904475063E-3</v>
      </c>
      <c r="K160" s="2">
        <f t="shared" si="66"/>
        <v>5.0609442510877671E-2</v>
      </c>
      <c r="L160" s="2">
        <f t="shared" si="66"/>
        <v>1.4152125097110231E-2</v>
      </c>
      <c r="M160" s="2">
        <f t="shared" si="66"/>
        <v>2.0996081194591298E-2</v>
      </c>
      <c r="N160" s="2">
        <f t="shared" si="66"/>
        <v>1.4287443102103069E-2</v>
      </c>
      <c r="O160" s="2">
        <f t="shared" si="66"/>
        <v>3.0461049373086985E-2</v>
      </c>
      <c r="P160" s="2">
        <f t="shared" si="66"/>
        <v>3.0233232396480084E-2</v>
      </c>
      <c r="Q160" s="2">
        <f t="shared" si="66"/>
        <v>1.5169388320058753E-2</v>
      </c>
      <c r="R160" s="2">
        <f t="shared" si="66"/>
        <v>5.6190505235773349E-8</v>
      </c>
    </row>
    <row r="161" spans="1:18">
      <c r="A161" s="3" t="s">
        <v>7</v>
      </c>
      <c r="B161" s="2">
        <f>(B155-63.717)/(82.322-63.717)</f>
        <v>0.86614927799372099</v>
      </c>
      <c r="C161" s="2">
        <f t="shared" ref="C161:R161" si="67">(C155-63.717)/(82.322-63.717)</f>
        <v>0.86322153105970723</v>
      </c>
      <c r="D161" s="2">
        <f t="shared" si="67"/>
        <v>0.9098039472735493</v>
      </c>
      <c r="E161" s="2">
        <f t="shared" si="67"/>
        <v>0.77280956469871209</v>
      </c>
      <c r="F161" s="2">
        <f t="shared" si="67"/>
        <v>0.83298221694928598</v>
      </c>
      <c r="G161" s="2">
        <f t="shared" si="67"/>
        <v>0.90285590681760153</v>
      </c>
      <c r="H161" s="2">
        <f t="shared" si="67"/>
        <v>0.93602296786203587</v>
      </c>
      <c r="I161" s="2">
        <f t="shared" si="67"/>
        <v>0.80857230878140562</v>
      </c>
      <c r="J161" s="2">
        <f t="shared" si="67"/>
        <v>0.99999737809794131</v>
      </c>
      <c r="K161" s="2">
        <f t="shared" si="67"/>
        <v>0.85893904733188708</v>
      </c>
      <c r="L161" s="2">
        <f t="shared" si="67"/>
        <v>0.87781674215559735</v>
      </c>
      <c r="M161" s="2">
        <f t="shared" si="67"/>
        <v>0.89367924961163059</v>
      </c>
      <c r="N161" s="2">
        <f t="shared" si="67"/>
        <v>0.91937388978834711</v>
      </c>
      <c r="O161" s="2">
        <f t="shared" si="67"/>
        <v>0.91544103670007482</v>
      </c>
      <c r="P161" s="2">
        <f t="shared" si="67"/>
        <v>0.95529394799457301</v>
      </c>
      <c r="Q161" s="2">
        <f t="shared" si="67"/>
        <v>0.83481754839048061</v>
      </c>
      <c r="R161" s="2">
        <f t="shared" si="67"/>
        <v>0.74554178328668552</v>
      </c>
    </row>
    <row r="162" spans="1:18">
      <c r="A162" s="4" t="s">
        <v>8</v>
      </c>
      <c r="B162" s="2">
        <f>(B156-54.671)/(119.836-54.671)</f>
        <v>0.69536238778485393</v>
      </c>
      <c r="C162" s="2">
        <f t="shared" ref="C162:R162" si="68">(C156-54.671)/(119.836-54.671)</f>
        <v>0.88157293025397088</v>
      </c>
      <c r="D162" s="2">
        <f t="shared" si="68"/>
        <v>0.71632287270774186</v>
      </c>
      <c r="E162" s="2">
        <f t="shared" si="68"/>
        <v>1.0000058313511855</v>
      </c>
      <c r="F162" s="2">
        <f t="shared" si="68"/>
        <v>0.87455060231719495</v>
      </c>
      <c r="G162" s="2">
        <f t="shared" si="68"/>
        <v>0.89472569630936871</v>
      </c>
      <c r="H162" s="2">
        <f t="shared" si="68"/>
        <v>0.68190470344510101</v>
      </c>
      <c r="I162" s="2">
        <f t="shared" si="68"/>
        <v>0.86988490754239256</v>
      </c>
      <c r="J162" s="2">
        <f t="shared" si="68"/>
        <v>0.71836062303383719</v>
      </c>
      <c r="K162" s="2">
        <f t="shared" si="68"/>
        <v>0.98519665464589912</v>
      </c>
      <c r="L162" s="2">
        <f t="shared" si="68"/>
        <v>0.9772419243458913</v>
      </c>
      <c r="M162" s="2">
        <f t="shared" si="68"/>
        <v>0.91104427223202644</v>
      </c>
      <c r="N162" s="2">
        <f t="shared" si="68"/>
        <v>0.98706851837642906</v>
      </c>
      <c r="O162" s="2">
        <f t="shared" si="68"/>
        <v>0.74750295403974532</v>
      </c>
      <c r="P162" s="2">
        <f t="shared" si="68"/>
        <v>0.63060108954193217</v>
      </c>
      <c r="Q162" s="2">
        <f t="shared" si="68"/>
        <v>0.67255566638532971</v>
      </c>
      <c r="R162" s="2">
        <f t="shared" si="68"/>
        <v>0.6497029080027622</v>
      </c>
    </row>
    <row r="163" spans="1:18">
      <c r="A163" s="4" t="s">
        <v>52</v>
      </c>
      <c r="B163" s="2">
        <f>(B157+B158+B159+B160+B161+B162)/6</f>
        <v>0.55882093752378614</v>
      </c>
      <c r="C163" s="2">
        <f t="shared" ref="C163:R163" si="69">(C157+C158+C159+C160+C161+C162)/6</f>
        <v>0.60581228440780754</v>
      </c>
      <c r="D163" s="2">
        <f t="shared" si="69"/>
        <v>0.57038887195441423</v>
      </c>
      <c r="E163" s="2">
        <f t="shared" si="69"/>
        <v>0.5882900593881466</v>
      </c>
      <c r="F163" s="2">
        <f t="shared" si="69"/>
        <v>0.57628977051419039</v>
      </c>
      <c r="G163" s="2">
        <f t="shared" si="69"/>
        <v>0.55895636929028913</v>
      </c>
      <c r="H163" s="2">
        <f t="shared" si="69"/>
        <v>0.51289239876654213</v>
      </c>
      <c r="I163" s="2">
        <f t="shared" si="69"/>
        <v>0.66457693070276036</v>
      </c>
      <c r="J163" s="2">
        <f t="shared" si="69"/>
        <v>0.54120966817813887</v>
      </c>
      <c r="K163" s="2">
        <f t="shared" si="69"/>
        <v>0.61490571820040152</v>
      </c>
      <c r="L163" s="2">
        <f t="shared" si="69"/>
        <v>0.51467980685715264</v>
      </c>
      <c r="M163" s="2">
        <f t="shared" si="69"/>
        <v>0.72341751073730209</v>
      </c>
      <c r="N163" s="2">
        <f t="shared" si="69"/>
        <v>0.55298934015862555</v>
      </c>
      <c r="O163" s="2">
        <f t="shared" si="69"/>
        <v>0.57967744604402871</v>
      </c>
      <c r="P163" s="2">
        <f t="shared" si="69"/>
        <v>0.57537980718274906</v>
      </c>
      <c r="Q163" s="2">
        <f t="shared" si="69"/>
        <v>0.49177793633413619</v>
      </c>
      <c r="R163" s="2">
        <f t="shared" si="69"/>
        <v>0.55400214165393846</v>
      </c>
    </row>
    <row r="165" spans="1:18">
      <c r="A165" s="1" t="s">
        <v>9</v>
      </c>
      <c r="B165" s="2" t="s">
        <v>10</v>
      </c>
      <c r="C165" s="2" t="s">
        <v>11</v>
      </c>
      <c r="D165" s="2" t="s">
        <v>12</v>
      </c>
      <c r="E165" s="2" t="s">
        <v>13</v>
      </c>
      <c r="F165" s="2" t="s">
        <v>14</v>
      </c>
      <c r="G165" s="2" t="s">
        <v>15</v>
      </c>
      <c r="H165" s="2" t="s">
        <v>16</v>
      </c>
      <c r="I165" s="2" t="s">
        <v>17</v>
      </c>
      <c r="J165" s="2" t="s">
        <v>18</v>
      </c>
      <c r="K165" s="2" t="s">
        <v>19</v>
      </c>
      <c r="L165" s="2" t="s">
        <v>20</v>
      </c>
      <c r="M165" s="2" t="s">
        <v>21</v>
      </c>
      <c r="N165" s="2" t="s">
        <v>22</v>
      </c>
      <c r="O165" s="2" t="s">
        <v>23</v>
      </c>
      <c r="P165" s="2" t="s">
        <v>24</v>
      </c>
      <c r="Q165" s="2" t="s">
        <v>25</v>
      </c>
      <c r="R165" s="2" t="s">
        <v>26</v>
      </c>
    </row>
    <row r="166" spans="1:18">
      <c r="B166" s="2">
        <v>2005</v>
      </c>
      <c r="C166" s="2">
        <v>2005</v>
      </c>
      <c r="D166" s="2">
        <v>2005</v>
      </c>
      <c r="E166" s="2">
        <v>2005</v>
      </c>
      <c r="F166" s="2">
        <v>2005</v>
      </c>
      <c r="G166" s="2">
        <v>2005</v>
      </c>
      <c r="H166" s="2">
        <v>2005</v>
      </c>
      <c r="I166" s="2">
        <v>2005</v>
      </c>
      <c r="J166" s="2">
        <v>2005</v>
      </c>
      <c r="K166" s="2">
        <v>2005</v>
      </c>
      <c r="L166" s="2">
        <v>2005</v>
      </c>
      <c r="M166" s="2">
        <v>2005</v>
      </c>
      <c r="N166" s="2">
        <v>2005</v>
      </c>
      <c r="O166" s="2">
        <v>2005</v>
      </c>
      <c r="P166" s="2">
        <v>2005</v>
      </c>
      <c r="Q166" s="2">
        <v>2005</v>
      </c>
      <c r="R166" s="2">
        <v>2005</v>
      </c>
    </row>
    <row r="167" spans="1:18">
      <c r="A167" s="1" t="s">
        <v>0</v>
      </c>
      <c r="B167" s="3">
        <v>10842.746125790045</v>
      </c>
      <c r="C167" s="3">
        <v>9809.3975925690811</v>
      </c>
      <c r="D167" s="3">
        <v>12773.418370606341</v>
      </c>
      <c r="E167" s="3">
        <v>4114.5728335605027</v>
      </c>
      <c r="F167" s="3">
        <v>7280.2882056749841</v>
      </c>
      <c r="G167" s="3">
        <v>9019.1078025484367</v>
      </c>
      <c r="H167" s="3">
        <v>2233.8628547768121</v>
      </c>
      <c r="I167" s="3">
        <v>3141.2870651197131</v>
      </c>
      <c r="J167" s="3">
        <v>12130.586637309571</v>
      </c>
      <c r="K167" s="3">
        <v>12017.06196857493</v>
      </c>
      <c r="L167" s="3">
        <v>6349.0545937955767</v>
      </c>
      <c r="M167" s="3">
        <v>3041.0583919772157</v>
      </c>
      <c r="N167" s="3">
        <v>6790.7036404344253</v>
      </c>
      <c r="O167" s="3">
        <v>7182.3656248287607</v>
      </c>
      <c r="P167" s="3">
        <v>11532.450653827336</v>
      </c>
      <c r="Q167" s="3">
        <v>9626.2054373200681</v>
      </c>
      <c r="R167" s="3">
        <v>9869.1703207554965</v>
      </c>
    </row>
    <row r="168" spans="1:18">
      <c r="A168" s="1" t="s">
        <v>1</v>
      </c>
      <c r="B168" s="2">
        <v>23618</v>
      </c>
      <c r="C168" s="2">
        <v>16014</v>
      </c>
      <c r="D168" s="2">
        <v>30466</v>
      </c>
      <c r="E168" s="2">
        <v>7825</v>
      </c>
      <c r="F168" s="2">
        <v>15107</v>
      </c>
      <c r="G168" s="2">
        <v>16505</v>
      </c>
      <c r="H168" s="2">
        <v>6285</v>
      </c>
      <c r="I168" s="2">
        <v>9140</v>
      </c>
      <c r="J168" s="2">
        <v>22394</v>
      </c>
      <c r="K168" s="2">
        <v>19564</v>
      </c>
      <c r="L168" s="2">
        <v>13339</v>
      </c>
      <c r="M168" s="2">
        <v>7319</v>
      </c>
      <c r="N168" s="2">
        <v>14385</v>
      </c>
      <c r="O168" s="2">
        <v>15143</v>
      </c>
      <c r="P168" s="2">
        <v>26593</v>
      </c>
      <c r="Q168" s="2">
        <v>25436</v>
      </c>
      <c r="R168" s="2">
        <v>26468</v>
      </c>
    </row>
    <row r="169" spans="1:18">
      <c r="A169" s="1" t="s">
        <v>2</v>
      </c>
      <c r="B169" s="2">
        <v>27.335149179509305</v>
      </c>
      <c r="C169" s="2">
        <v>12.461982302207236</v>
      </c>
      <c r="D169" s="2">
        <v>30.095060785933274</v>
      </c>
      <c r="E169" s="2">
        <v>47.628609840934857</v>
      </c>
      <c r="F169" s="2">
        <v>18.286609673208762</v>
      </c>
      <c r="G169" s="2">
        <v>18.872161943626388</v>
      </c>
      <c r="H169" s="2">
        <v>31.534737487433667</v>
      </c>
      <c r="I169" s="2">
        <v>29.228008686573105</v>
      </c>
      <c r="J169" s="2">
        <v>44.340176276774038</v>
      </c>
      <c r="K169" s="2">
        <v>22.27233533160663</v>
      </c>
      <c r="L169" s="2">
        <v>23.81220926163174</v>
      </c>
      <c r="M169" s="2">
        <v>15.945826373803525</v>
      </c>
      <c r="N169" s="2">
        <v>30.322916192306863</v>
      </c>
      <c r="O169" s="2">
        <v>21.292780205870415</v>
      </c>
      <c r="P169" s="2">
        <v>16.493461795869209</v>
      </c>
      <c r="Q169" s="2">
        <v>19.629201455794679</v>
      </c>
      <c r="R169" s="2">
        <v>42.194009299613995</v>
      </c>
    </row>
    <row r="170" spans="1:18">
      <c r="A170" s="1" t="s">
        <v>3</v>
      </c>
      <c r="B170" s="2">
        <v>44.256652892081064</v>
      </c>
      <c r="C170" s="2">
        <v>96.164038889404694</v>
      </c>
      <c r="D170" s="2">
        <v>69.967388963772976</v>
      </c>
      <c r="E170" s="2">
        <v>68.632908938863508</v>
      </c>
      <c r="F170" s="2">
        <v>35.634238408259741</v>
      </c>
      <c r="G170" s="2">
        <v>102.47440867431436</v>
      </c>
      <c r="H170" s="2">
        <v>41.305190082951235</v>
      </c>
      <c r="I170" s="2">
        <v>63.987934481217636</v>
      </c>
      <c r="J170" s="2">
        <v>203.85483565345851</v>
      </c>
      <c r="K170" s="2">
        <v>55.654497330906757</v>
      </c>
      <c r="L170" s="2">
        <v>44.256184948197195</v>
      </c>
      <c r="M170" s="2">
        <v>97.878549228143086</v>
      </c>
      <c r="N170" s="2">
        <v>148.25478122960547</v>
      </c>
      <c r="O170" s="2">
        <v>90.251247880394558</v>
      </c>
      <c r="P170" s="2">
        <v>47.206879758713349</v>
      </c>
      <c r="Q170" s="2">
        <v>58.877696303634139</v>
      </c>
      <c r="R170" s="2">
        <v>60.127329756142181</v>
      </c>
    </row>
    <row r="171" spans="1:18">
      <c r="A171" s="6" t="s">
        <v>27</v>
      </c>
      <c r="B171" s="5">
        <v>74.741463414634154</v>
      </c>
      <c r="C171" s="5">
        <v>72.560975609756099</v>
      </c>
      <c r="D171" s="5">
        <v>78.274975609756112</v>
      </c>
      <c r="E171" s="5">
        <v>72.171317073170741</v>
      </c>
      <c r="F171" s="5">
        <v>72.279780487804885</v>
      </c>
      <c r="G171" s="5">
        <v>78.564243902439017</v>
      </c>
      <c r="H171" s="5">
        <v>63.367243902439029</v>
      </c>
      <c r="I171" s="5">
        <v>67.073365853658544</v>
      </c>
      <c r="J171" s="5">
        <v>72.988292682926826</v>
      </c>
      <c r="K171" s="5">
        <v>75.498902439024391</v>
      </c>
      <c r="L171" s="5">
        <v>72.466609756097569</v>
      </c>
      <c r="M171" s="5">
        <v>67.447146341463423</v>
      </c>
      <c r="N171" s="5">
        <v>73.188780487804891</v>
      </c>
      <c r="O171" s="5">
        <v>73.502439024390256</v>
      </c>
      <c r="P171" s="5">
        <v>72.077853658536611</v>
      </c>
      <c r="Q171" s="5">
        <v>75.609268292682941</v>
      </c>
      <c r="R171" s="5">
        <v>73.172682926829282</v>
      </c>
    </row>
    <row r="172" spans="1:18">
      <c r="A172" s="6" t="s">
        <v>48</v>
      </c>
      <c r="B172" s="5">
        <v>84.911569999999998</v>
      </c>
      <c r="C172" s="5">
        <v>89.291039999999995</v>
      </c>
      <c r="D172" s="5">
        <v>90.772959999999998</v>
      </c>
      <c r="E172" s="5">
        <v>72.371209369770597</v>
      </c>
      <c r="F172" s="5">
        <v>82.55</v>
      </c>
      <c r="G172" s="5">
        <v>80.590429999999998</v>
      </c>
      <c r="H172" s="5">
        <v>53.856000000000002</v>
      </c>
      <c r="I172" s="5">
        <v>60.640270000000001</v>
      </c>
      <c r="J172" s="5">
        <v>70.298990000000003</v>
      </c>
      <c r="K172" s="5">
        <v>82.304050000000004</v>
      </c>
      <c r="L172" s="5">
        <v>85.490499999999997</v>
      </c>
      <c r="M172" s="5">
        <v>83.53801</v>
      </c>
      <c r="N172" s="5">
        <v>70.898240000000001</v>
      </c>
      <c r="O172" s="5">
        <v>85.481440000000006</v>
      </c>
      <c r="P172" s="5">
        <v>82.018119999999996</v>
      </c>
      <c r="Q172" s="5">
        <v>101.42140000000001</v>
      </c>
      <c r="R172" s="5">
        <v>74.386769999999999</v>
      </c>
    </row>
    <row r="173" spans="1:18">
      <c r="A173" s="3" t="s">
        <v>4</v>
      </c>
      <c r="B173" s="2">
        <f>(B167-2233.863)/(47626.28-2233.863)</f>
        <v>0.18965465367905052</v>
      </c>
      <c r="C173" s="2">
        <f t="shared" ref="C173:R173" si="70">(C167-2233.863)/(47626.28-2233.863)</f>
        <v>0.16688987045058828</v>
      </c>
      <c r="D173" s="2">
        <f t="shared" si="70"/>
        <v>0.23218757817206212</v>
      </c>
      <c r="E173" s="2">
        <f t="shared" si="70"/>
        <v>4.1432247010783824E-2</v>
      </c>
      <c r="F173" s="2">
        <f t="shared" si="70"/>
        <v>0.11117330909422568</v>
      </c>
      <c r="G173" s="2">
        <f t="shared" si="70"/>
        <v>0.14947969839430311</v>
      </c>
      <c r="H173" s="2">
        <f t="shared" si="70"/>
        <v>-3.1992829925987203E-9</v>
      </c>
      <c r="I173" s="2">
        <f t="shared" si="70"/>
        <v>1.9990653177153209E-2</v>
      </c>
      <c r="J173" s="2">
        <f t="shared" si="70"/>
        <v>0.21802592352175409</v>
      </c>
      <c r="K173" s="2">
        <f t="shared" si="70"/>
        <v>0.2155249624309481</v>
      </c>
      <c r="L173" s="2">
        <f t="shared" si="70"/>
        <v>9.0658128951264613E-2</v>
      </c>
      <c r="M173" s="2">
        <f t="shared" si="70"/>
        <v>1.778260434947132E-2</v>
      </c>
      <c r="N173" s="2">
        <f t="shared" si="70"/>
        <v>0.10038770661704191</v>
      </c>
      <c r="O173" s="2">
        <f t="shared" si="70"/>
        <v>0.10901606373656554</v>
      </c>
      <c r="P173" s="2">
        <f t="shared" si="70"/>
        <v>0.2048489212157911</v>
      </c>
      <c r="Q173" s="2">
        <f t="shared" si="70"/>
        <v>0.16285412687586273</v>
      </c>
      <c r="R173" s="2">
        <f t="shared" si="70"/>
        <v>0.16820667030696992</v>
      </c>
    </row>
    <row r="174" spans="1:18">
      <c r="A174" s="3" t="s">
        <v>5</v>
      </c>
      <c r="B174" s="2">
        <f>(B168-6285)/(63741-6285)</f>
        <v>0.30167432470064048</v>
      </c>
      <c r="C174" s="2">
        <f t="shared" ref="C174:R174" si="71">(C168-6285)/(63741-6285)</f>
        <v>0.16932957393483708</v>
      </c>
      <c r="D174" s="2">
        <f t="shared" si="71"/>
        <v>0.42086118072960177</v>
      </c>
      <c r="E174" s="2">
        <f t="shared" si="71"/>
        <v>2.6803118908382065E-2</v>
      </c>
      <c r="F174" s="2">
        <f t="shared" si="71"/>
        <v>0.15354358117516012</v>
      </c>
      <c r="G174" s="2">
        <f t="shared" si="71"/>
        <v>0.17787524366471735</v>
      </c>
      <c r="H174" s="2">
        <f t="shared" si="71"/>
        <v>0</v>
      </c>
      <c r="I174" s="2">
        <f t="shared" si="71"/>
        <v>4.9690197716513507E-2</v>
      </c>
      <c r="J174" s="2">
        <f t="shared" si="71"/>
        <v>0.2803710665552771</v>
      </c>
      <c r="K174" s="2">
        <f t="shared" si="71"/>
        <v>0.23111598440545808</v>
      </c>
      <c r="L174" s="2">
        <f t="shared" si="71"/>
        <v>0.12277220829852409</v>
      </c>
      <c r="M174" s="2">
        <f t="shared" si="71"/>
        <v>1.7996379838485101E-2</v>
      </c>
      <c r="N174" s="2">
        <f t="shared" si="71"/>
        <v>0.14097744360902256</v>
      </c>
      <c r="O174" s="2">
        <f t="shared" si="71"/>
        <v>0.15417014759120024</v>
      </c>
      <c r="P174" s="2">
        <f t="shared" si="71"/>
        <v>0.35345307713728769</v>
      </c>
      <c r="Q174" s="2">
        <f t="shared" si="71"/>
        <v>0.33331592871066557</v>
      </c>
      <c r="R174" s="2">
        <f t="shared" si="71"/>
        <v>0.35127749930381508</v>
      </c>
    </row>
    <row r="175" spans="1:18">
      <c r="A175" s="3" t="s">
        <v>6</v>
      </c>
      <c r="B175" s="2">
        <f>(B169-12.462)/(47.629-12.462)</f>
        <v>0.42292914321691655</v>
      </c>
      <c r="C175" s="2">
        <f t="shared" ref="C175:R175" si="72">(C169-12.462)/(47.629-12.462)</f>
        <v>-5.0325000039033005E-7</v>
      </c>
      <c r="D175" s="2">
        <f t="shared" si="72"/>
        <v>0.50140929809006385</v>
      </c>
      <c r="E175" s="2">
        <f t="shared" si="72"/>
        <v>0.99998890553458786</v>
      </c>
      <c r="F175" s="2">
        <f t="shared" si="72"/>
        <v>0.16562714116099644</v>
      </c>
      <c r="G175" s="2">
        <f t="shared" si="72"/>
        <v>0.18227775879734945</v>
      </c>
      <c r="H175" s="2">
        <f t="shared" si="72"/>
        <v>0.54234758402575334</v>
      </c>
      <c r="I175" s="2">
        <f t="shared" si="72"/>
        <v>0.47675402185495219</v>
      </c>
      <c r="J175" s="2">
        <f t="shared" si="72"/>
        <v>0.9064798327060607</v>
      </c>
      <c r="K175" s="2">
        <f t="shared" si="72"/>
        <v>0.27896423725670744</v>
      </c>
      <c r="L175" s="2">
        <f t="shared" si="72"/>
        <v>0.32275170647572266</v>
      </c>
      <c r="M175" s="2">
        <f t="shared" si="72"/>
        <v>9.9065213802813024E-2</v>
      </c>
      <c r="N175" s="2">
        <f t="shared" si="72"/>
        <v>0.50788853733064698</v>
      </c>
      <c r="O175" s="2">
        <f t="shared" si="72"/>
        <v>0.25110985315410511</v>
      </c>
      <c r="P175" s="2">
        <f t="shared" si="72"/>
        <v>0.1146376374404757</v>
      </c>
      <c r="Q175" s="2">
        <f t="shared" si="72"/>
        <v>0.20380474466956744</v>
      </c>
      <c r="R175" s="2">
        <f t="shared" si="72"/>
        <v>0.84545196632109632</v>
      </c>
    </row>
    <row r="176" spans="1:18">
      <c r="A176" s="3" t="s">
        <v>3</v>
      </c>
      <c r="B176" s="2">
        <f t="shared" ref="B176:R176" si="73">(B170-26.527)/(203.855-26.527)</f>
        <v>9.9982252617077202E-2</v>
      </c>
      <c r="C176" s="2">
        <f t="shared" si="73"/>
        <v>0.39270187950805685</v>
      </c>
      <c r="D176" s="2">
        <f t="shared" si="73"/>
        <v>0.24497196699772728</v>
      </c>
      <c r="E176" s="2">
        <f t="shared" si="73"/>
        <v>0.23744647736885047</v>
      </c>
      <c r="F176" s="2">
        <f t="shared" si="73"/>
        <v>5.135815217145482E-2</v>
      </c>
      <c r="G176" s="2">
        <f t="shared" si="73"/>
        <v>0.42828774177972101</v>
      </c>
      <c r="H176" s="2">
        <f t="shared" si="73"/>
        <v>8.3338164773477594E-2</v>
      </c>
      <c r="I176" s="2">
        <f t="shared" si="73"/>
        <v>0.21125222458504939</v>
      </c>
      <c r="J176" s="2">
        <f t="shared" si="73"/>
        <v>0.9999990732059153</v>
      </c>
      <c r="K176" s="2">
        <f t="shared" si="73"/>
        <v>0.16425774458013828</v>
      </c>
      <c r="L176" s="2">
        <f t="shared" si="73"/>
        <v>9.9979613756412955E-2</v>
      </c>
      <c r="M176" s="2">
        <f t="shared" si="73"/>
        <v>0.40237046167634605</v>
      </c>
      <c r="N176" s="2">
        <f t="shared" si="73"/>
        <v>0.68645550183617643</v>
      </c>
      <c r="O176" s="2">
        <f t="shared" si="73"/>
        <v>0.35935807024493915</v>
      </c>
      <c r="P176" s="2">
        <f t="shared" si="73"/>
        <v>0.11661937065050838</v>
      </c>
      <c r="Q176" s="2">
        <f t="shared" si="73"/>
        <v>0.18243422529794584</v>
      </c>
      <c r="R176" s="2">
        <f t="shared" si="73"/>
        <v>0.18948124242162651</v>
      </c>
    </row>
    <row r="177" spans="1:18">
      <c r="A177" s="4" t="s">
        <v>7</v>
      </c>
      <c r="B177" s="2">
        <f t="shared" ref="B177:R177" si="74">(B171-63.367)/(81.925-63.367)</f>
        <v>0.61291429112157325</v>
      </c>
      <c r="C177" s="2">
        <f t="shared" si="74"/>
        <v>0.49541845078974578</v>
      </c>
      <c r="D177" s="2">
        <f t="shared" si="74"/>
        <v>0.80331800893178762</v>
      </c>
      <c r="E177" s="2">
        <f t="shared" si="74"/>
        <v>0.47442165498279681</v>
      </c>
      <c r="F177" s="2">
        <f t="shared" si="74"/>
        <v>0.48026621876306108</v>
      </c>
      <c r="G177" s="2">
        <f t="shared" si="74"/>
        <v>0.81890526470735103</v>
      </c>
      <c r="H177" s="2">
        <f t="shared" si="74"/>
        <v>1.3142711446884031E-5</v>
      </c>
      <c r="I177" s="2">
        <f t="shared" si="74"/>
        <v>0.19971795741235837</v>
      </c>
      <c r="J177" s="2">
        <f t="shared" si="74"/>
        <v>0.51844448124403641</v>
      </c>
      <c r="K177" s="2">
        <f t="shared" si="74"/>
        <v>0.65372898151871939</v>
      </c>
      <c r="L177" s="2">
        <f t="shared" si="74"/>
        <v>0.49033353573109018</v>
      </c>
      <c r="M177" s="2">
        <f t="shared" si="74"/>
        <v>0.21985916270413977</v>
      </c>
      <c r="N177" s="2">
        <f t="shared" si="74"/>
        <v>0.5292477900530711</v>
      </c>
      <c r="O177" s="2">
        <f t="shared" si="74"/>
        <v>0.54614931697328695</v>
      </c>
      <c r="P177" s="2">
        <f t="shared" si="74"/>
        <v>0.46938536795649388</v>
      </c>
      <c r="Q177" s="2">
        <f t="shared" si="74"/>
        <v>0.65967605844826727</v>
      </c>
      <c r="R177" s="2">
        <f t="shared" si="74"/>
        <v>0.52838037109760128</v>
      </c>
    </row>
    <row r="178" spans="1:18">
      <c r="A178" s="4" t="s">
        <v>8</v>
      </c>
      <c r="B178" s="2">
        <f t="shared" ref="B178:R178" si="75">(B172-53.856)/(123.931-53.856)</f>
        <v>0.44317616839100965</v>
      </c>
      <c r="C178" s="2">
        <f t="shared" si="75"/>
        <v>0.50567306457367101</v>
      </c>
      <c r="D178" s="2">
        <f t="shared" si="75"/>
        <v>0.52682069211559046</v>
      </c>
      <c r="E178" s="2">
        <f t="shared" si="75"/>
        <v>0.26421989824859932</v>
      </c>
      <c r="F178" s="2">
        <f t="shared" si="75"/>
        <v>0.40947556189796647</v>
      </c>
      <c r="G178" s="2">
        <f t="shared" si="75"/>
        <v>0.38151166607206566</v>
      </c>
      <c r="H178" s="2">
        <f t="shared" si="75"/>
        <v>0</v>
      </c>
      <c r="I178" s="2">
        <f t="shared" si="75"/>
        <v>9.6814413128790591E-2</v>
      </c>
      <c r="J178" s="2">
        <f t="shared" si="75"/>
        <v>0.23464844809133079</v>
      </c>
      <c r="K178" s="2">
        <f t="shared" si="75"/>
        <v>0.40596575098109178</v>
      </c>
      <c r="L178" s="2">
        <f t="shared" si="75"/>
        <v>0.45143774527292185</v>
      </c>
      <c r="M178" s="2">
        <f t="shared" si="75"/>
        <v>0.42357488405280064</v>
      </c>
      <c r="N178" s="2">
        <f t="shared" si="75"/>
        <v>0.24320000000000003</v>
      </c>
      <c r="O178" s="2">
        <f t="shared" si="75"/>
        <v>0.45130845522654311</v>
      </c>
      <c r="P178" s="2">
        <f t="shared" si="75"/>
        <v>0.4018854084909026</v>
      </c>
      <c r="Q178" s="2">
        <f t="shared" si="75"/>
        <v>0.67877845165893702</v>
      </c>
      <c r="R178" s="2">
        <f t="shared" si="75"/>
        <v>0.29298280413842315</v>
      </c>
    </row>
    <row r="179" spans="1:18">
      <c r="A179" s="3" t="s">
        <v>53</v>
      </c>
      <c r="B179" s="2">
        <f t="shared" ref="B179:R179" si="76">(B173+B174+B175+B176+B177+B178)/6</f>
        <v>0.34505513895437795</v>
      </c>
      <c r="C179" s="2">
        <f t="shared" si="76"/>
        <v>0.28833538933448311</v>
      </c>
      <c r="D179" s="2">
        <f t="shared" si="76"/>
        <v>0.45492812083947221</v>
      </c>
      <c r="E179" s="2">
        <f t="shared" si="76"/>
        <v>0.34071871700900008</v>
      </c>
      <c r="F179" s="2">
        <f t="shared" si="76"/>
        <v>0.22857399404381076</v>
      </c>
      <c r="G179" s="2">
        <f t="shared" si="76"/>
        <v>0.35638956223591794</v>
      </c>
      <c r="H179" s="2">
        <f t="shared" si="76"/>
        <v>0.10428314805189914</v>
      </c>
      <c r="I179" s="2">
        <f t="shared" si="76"/>
        <v>0.17570324464580289</v>
      </c>
      <c r="J179" s="2">
        <f t="shared" si="76"/>
        <v>0.52632813755406238</v>
      </c>
      <c r="K179" s="2">
        <f t="shared" si="76"/>
        <v>0.32492627686217718</v>
      </c>
      <c r="L179" s="2">
        <f t="shared" si="76"/>
        <v>0.26298882308098942</v>
      </c>
      <c r="M179" s="2">
        <f t="shared" si="76"/>
        <v>0.19677478440400931</v>
      </c>
      <c r="N179" s="2">
        <f t="shared" si="76"/>
        <v>0.36802616324099313</v>
      </c>
      <c r="O179" s="2">
        <f t="shared" si="76"/>
        <v>0.31185198448777335</v>
      </c>
      <c r="P179" s="2">
        <f t="shared" si="76"/>
        <v>0.27680496381524322</v>
      </c>
      <c r="Q179" s="2">
        <f t="shared" si="76"/>
        <v>0.37014392261020762</v>
      </c>
      <c r="R179" s="2">
        <f t="shared" si="76"/>
        <v>0.39596342559825543</v>
      </c>
    </row>
    <row r="181" spans="1:18">
      <c r="A181" s="1" t="s">
        <v>9</v>
      </c>
      <c r="B181" s="2" t="s">
        <v>28</v>
      </c>
      <c r="C181" s="2" t="s">
        <v>29</v>
      </c>
      <c r="D181" s="2" t="s">
        <v>30</v>
      </c>
      <c r="E181" s="2" t="s">
        <v>31</v>
      </c>
      <c r="F181" s="2" t="s">
        <v>32</v>
      </c>
      <c r="G181" s="2" t="s">
        <v>33</v>
      </c>
      <c r="H181" s="2" t="s">
        <v>34</v>
      </c>
      <c r="I181" s="2" t="s">
        <v>35</v>
      </c>
      <c r="J181" s="2" t="s">
        <v>36</v>
      </c>
      <c r="K181" s="2" t="s">
        <v>37</v>
      </c>
      <c r="L181" s="2" t="s">
        <v>38</v>
      </c>
      <c r="M181" s="2" t="s">
        <v>39</v>
      </c>
      <c r="N181" s="2" t="s">
        <v>40</v>
      </c>
      <c r="O181" s="2" t="s">
        <v>41</v>
      </c>
      <c r="P181" s="2" t="s">
        <v>42</v>
      </c>
      <c r="Q181" s="2" t="s">
        <v>43</v>
      </c>
      <c r="R181" s="2" t="s">
        <v>44</v>
      </c>
    </row>
    <row r="182" spans="1:18">
      <c r="B182" s="2">
        <v>2005</v>
      </c>
      <c r="C182" s="2">
        <v>2005</v>
      </c>
      <c r="D182" s="2">
        <v>2005</v>
      </c>
      <c r="E182" s="2">
        <v>2005</v>
      </c>
      <c r="F182" s="2">
        <v>2005</v>
      </c>
      <c r="G182" s="2">
        <v>2005</v>
      </c>
      <c r="H182" s="2">
        <v>2005</v>
      </c>
      <c r="I182" s="2">
        <v>2005</v>
      </c>
      <c r="J182" s="2">
        <v>2005</v>
      </c>
      <c r="K182" s="2">
        <v>2005</v>
      </c>
      <c r="L182" s="2">
        <v>2005</v>
      </c>
      <c r="M182" s="2">
        <v>2005</v>
      </c>
      <c r="N182" s="2">
        <v>2005</v>
      </c>
      <c r="O182" s="2">
        <v>2005</v>
      </c>
      <c r="P182" s="2">
        <v>2005</v>
      </c>
      <c r="Q182" s="2">
        <v>2005</v>
      </c>
      <c r="R182" s="2">
        <v>2005</v>
      </c>
    </row>
    <row r="183" spans="1:18">
      <c r="A183" s="1" t="s">
        <v>0</v>
      </c>
      <c r="B183" s="3">
        <v>32525.56027717466</v>
      </c>
      <c r="C183" s="3">
        <v>32189.351330962701</v>
      </c>
      <c r="D183" s="3">
        <v>35033.422929423214</v>
      </c>
      <c r="E183" s="3">
        <v>33193.237289851313</v>
      </c>
      <c r="F183" s="3">
        <v>30707.945880471867</v>
      </c>
      <c r="G183" s="3">
        <v>29452.522324643342</v>
      </c>
      <c r="H183" s="3">
        <v>28279.8705280748</v>
      </c>
      <c r="I183" s="3">
        <v>38762.016859835137</v>
      </c>
      <c r="J183" s="3">
        <v>30441.348130789385</v>
      </c>
      <c r="K183" s="3">
        <v>35104.487530309569</v>
      </c>
      <c r="L183" s="3">
        <v>25473.783876919617</v>
      </c>
      <c r="M183" s="3">
        <v>47626.279823180565</v>
      </c>
      <c r="N183" s="3">
        <v>27392.043394573804</v>
      </c>
      <c r="O183" s="3">
        <v>32702.982783916708</v>
      </c>
      <c r="P183" s="3">
        <v>36963.589835803381</v>
      </c>
      <c r="Q183" s="3">
        <v>33323.941587850808</v>
      </c>
      <c r="R183" s="3">
        <v>44313.585241281151</v>
      </c>
    </row>
    <row r="184" spans="1:18">
      <c r="A184" s="1" t="s">
        <v>1</v>
      </c>
      <c r="B184" s="2">
        <v>47742</v>
      </c>
      <c r="C184" s="2">
        <v>54202</v>
      </c>
      <c r="D184" s="2">
        <v>48997</v>
      </c>
      <c r="E184" s="2">
        <v>47151</v>
      </c>
      <c r="F184" s="2">
        <v>49144</v>
      </c>
      <c r="G184" s="2">
        <v>51650</v>
      </c>
      <c r="H184" s="2">
        <v>46411</v>
      </c>
      <c r="I184" s="2">
        <v>52105</v>
      </c>
      <c r="J184" s="2">
        <v>43109</v>
      </c>
      <c r="K184" s="2">
        <v>45613</v>
      </c>
      <c r="L184" s="2">
        <v>36166</v>
      </c>
      <c r="M184" s="2">
        <v>53516</v>
      </c>
      <c r="N184" s="2">
        <v>38755</v>
      </c>
      <c r="O184" s="2">
        <v>48908</v>
      </c>
      <c r="P184" s="2">
        <v>41161</v>
      </c>
      <c r="Q184" s="2">
        <v>47617</v>
      </c>
      <c r="R184" s="2">
        <v>63741</v>
      </c>
    </row>
    <row r="185" spans="1:18">
      <c r="A185" s="1" t="s">
        <v>2</v>
      </c>
      <c r="B185" s="2">
        <v>26.694899133968182</v>
      </c>
      <c r="C185" s="2">
        <v>25.865506615914448</v>
      </c>
      <c r="D185" s="2">
        <v>25.799271387965888</v>
      </c>
      <c r="E185" s="2">
        <v>25.730994908937475</v>
      </c>
      <c r="F185" s="2">
        <v>25.939312324921076</v>
      </c>
      <c r="G185" s="2">
        <v>19.336735258115755</v>
      </c>
      <c r="H185" s="2">
        <v>20.83258972736262</v>
      </c>
      <c r="I185" s="2">
        <v>38.804912657650547</v>
      </c>
      <c r="J185" s="2">
        <v>23.874078939795954</v>
      </c>
      <c r="K185" s="2">
        <v>27.537411838950383</v>
      </c>
      <c r="L185" s="2">
        <v>22.481562099634413</v>
      </c>
      <c r="M185" s="2">
        <v>37.704087024039431</v>
      </c>
      <c r="N185" s="2">
        <v>24.268501635327471</v>
      </c>
      <c r="O185" s="2">
        <v>25.568043331076506</v>
      </c>
      <c r="P185" s="2">
        <v>28.507833558378803</v>
      </c>
      <c r="Q185" s="2">
        <v>14.136262483072123</v>
      </c>
      <c r="R185" s="2">
        <v>14.162348877374784</v>
      </c>
    </row>
    <row r="186" spans="1:18">
      <c r="A186" s="1" t="s">
        <v>3</v>
      </c>
      <c r="B186" s="2">
        <v>103.69368695870462</v>
      </c>
      <c r="C186" s="2">
        <v>153.42297361873219</v>
      </c>
      <c r="D186" s="2">
        <v>71.89348143349504</v>
      </c>
      <c r="E186" s="2">
        <v>93.072479205724363</v>
      </c>
      <c r="F186" s="2">
        <v>79.429457088592315</v>
      </c>
      <c r="G186" s="2">
        <v>53.352498505570566</v>
      </c>
      <c r="H186" s="2">
        <v>51.80691582650946</v>
      </c>
      <c r="I186" s="2">
        <v>150.48385261899151</v>
      </c>
      <c r="J186" s="2">
        <v>27.217579573846557</v>
      </c>
      <c r="K186" s="2">
        <v>130.72299364831409</v>
      </c>
      <c r="L186" s="2">
        <v>56.937154923978326</v>
      </c>
      <c r="M186" s="2">
        <v>71.937105743151662</v>
      </c>
      <c r="N186" s="2">
        <v>56.601466186002824</v>
      </c>
      <c r="O186" s="2">
        <v>89.038537576167911</v>
      </c>
      <c r="P186" s="2">
        <v>88.518848056139802</v>
      </c>
      <c r="Q186" s="2">
        <v>56.726089125769178</v>
      </c>
      <c r="R186" s="2">
        <v>26.526746416433866</v>
      </c>
    </row>
    <row r="187" spans="1:18">
      <c r="A187" s="6" t="s">
        <v>27</v>
      </c>
      <c r="B187" s="2">
        <v>79.331707317073182</v>
      </c>
      <c r="C187" s="2">
        <v>79.327641463414651</v>
      </c>
      <c r="D187" s="2">
        <v>80.292682926829286</v>
      </c>
      <c r="E187" s="2">
        <v>77.84390243902439</v>
      </c>
      <c r="F187" s="2">
        <v>78.817073170731703</v>
      </c>
      <c r="G187" s="2">
        <v>80.114634146341473</v>
      </c>
      <c r="H187" s="2">
        <v>80.580487804878061</v>
      </c>
      <c r="I187" s="2">
        <v>78.479512195121956</v>
      </c>
      <c r="J187" s="2">
        <v>81.925121951219523</v>
      </c>
      <c r="K187" s="2">
        <v>79.346341463414646</v>
      </c>
      <c r="L187" s="2">
        <v>79.851219512195144</v>
      </c>
      <c r="M187" s="2">
        <v>80.041463414634151</v>
      </c>
      <c r="N187" s="2">
        <v>80.170731707317088</v>
      </c>
      <c r="O187" s="2">
        <v>80.546341463414649</v>
      </c>
      <c r="P187" s="2">
        <v>81.236585365853671</v>
      </c>
      <c r="Q187" s="2">
        <v>79.048780487804891</v>
      </c>
      <c r="R187" s="2">
        <v>77.339024390243921</v>
      </c>
    </row>
    <row r="188" spans="1:18">
      <c r="A188" s="6" t="s">
        <v>8</v>
      </c>
      <c r="B188" s="2">
        <v>99.931830000000005</v>
      </c>
      <c r="C188" s="2">
        <v>111.53882</v>
      </c>
      <c r="D188" s="2">
        <v>101.23828</v>
      </c>
      <c r="E188" s="2">
        <v>123.93102</v>
      </c>
      <c r="F188" s="2">
        <v>112.03285</v>
      </c>
      <c r="G188" s="2">
        <v>112.84576</v>
      </c>
      <c r="H188" s="2">
        <v>98.84084</v>
      </c>
      <c r="I188" s="2">
        <v>110.69302999999999</v>
      </c>
      <c r="J188" s="2">
        <v>101.47495000000001</v>
      </c>
      <c r="K188" s="2">
        <v>119.05108</v>
      </c>
      <c r="L188" s="2">
        <v>120.17569</v>
      </c>
      <c r="M188" s="2">
        <v>113.91061000000001</v>
      </c>
      <c r="N188" s="2">
        <v>118.64366</v>
      </c>
      <c r="O188" s="2">
        <v>103.83259</v>
      </c>
      <c r="P188" s="2">
        <v>95.062179999999998</v>
      </c>
      <c r="Q188" s="2">
        <v>105.4838</v>
      </c>
      <c r="R188" s="2">
        <v>96.884839999999997</v>
      </c>
    </row>
    <row r="189" spans="1:18">
      <c r="A189" s="3" t="s">
        <v>4</v>
      </c>
      <c r="B189" s="2">
        <f t="shared" ref="B189:R189" si="77">(B183-2233.863)/(47626.28-2233.863)</f>
        <v>0.66732946335892751</v>
      </c>
      <c r="C189" s="2">
        <f t="shared" si="77"/>
        <v>0.65992274284409003</v>
      </c>
      <c r="D189" s="2">
        <f t="shared" si="77"/>
        <v>0.72257795678567227</v>
      </c>
      <c r="E189" s="2">
        <f t="shared" si="77"/>
        <v>0.68203846227997311</v>
      </c>
      <c r="F189" s="2">
        <f t="shared" si="77"/>
        <v>0.62728721584646763</v>
      </c>
      <c r="G189" s="2">
        <f t="shared" si="77"/>
        <v>0.59963009514658228</v>
      </c>
      <c r="H189" s="2">
        <f t="shared" si="77"/>
        <v>0.57379644551808728</v>
      </c>
      <c r="I189" s="2">
        <f t="shared" si="77"/>
        <v>0.80471929617308413</v>
      </c>
      <c r="J189" s="2">
        <f t="shared" si="77"/>
        <v>0.62141403774091575</v>
      </c>
      <c r="K189" s="2">
        <f t="shared" si="77"/>
        <v>0.72414351785474584</v>
      </c>
      <c r="L189" s="2">
        <f t="shared" si="77"/>
        <v>0.51197804419446569</v>
      </c>
      <c r="M189" s="2">
        <f t="shared" si="77"/>
        <v>0.99999999610464818</v>
      </c>
      <c r="N189" s="2">
        <f t="shared" si="77"/>
        <v>0.55423751492620021</v>
      </c>
      <c r="O189" s="2">
        <f t="shared" si="77"/>
        <v>0.6712381009347157</v>
      </c>
      <c r="P189" s="2">
        <f t="shared" si="77"/>
        <v>0.76509974861667718</v>
      </c>
      <c r="Q189" s="2">
        <f t="shared" si="77"/>
        <v>0.68491789251607393</v>
      </c>
      <c r="R189" s="2">
        <f t="shared" si="77"/>
        <v>0.92702096566660352</v>
      </c>
    </row>
    <row r="190" spans="1:18">
      <c r="A190" s="3" t="s">
        <v>5</v>
      </c>
      <c r="B190" s="2">
        <f t="shared" ref="B190:R190" si="78">(B184-6285)/(63741-6285)</f>
        <v>0.72154344193817876</v>
      </c>
      <c r="C190" s="2">
        <f t="shared" si="78"/>
        <v>0.83397730437204121</v>
      </c>
      <c r="D190" s="2">
        <f t="shared" si="78"/>
        <v>0.74338624338624337</v>
      </c>
      <c r="E190" s="2">
        <f t="shared" si="78"/>
        <v>0.71125730994152048</v>
      </c>
      <c r="F190" s="2">
        <f t="shared" si="78"/>
        <v>0.74594472291840708</v>
      </c>
      <c r="G190" s="2">
        <f t="shared" si="78"/>
        <v>0.78956070732386519</v>
      </c>
      <c r="H190" s="2">
        <f t="shared" si="78"/>
        <v>0.69837788916736288</v>
      </c>
      <c r="I190" s="2">
        <f t="shared" si="78"/>
        <v>0.79747981063770534</v>
      </c>
      <c r="J190" s="2">
        <f t="shared" si="78"/>
        <v>0.64090782511835143</v>
      </c>
      <c r="K190" s="2">
        <f t="shared" si="78"/>
        <v>0.68448900027847392</v>
      </c>
      <c r="L190" s="2">
        <f t="shared" si="78"/>
        <v>0.52006752993595096</v>
      </c>
      <c r="M190" s="2">
        <f t="shared" si="78"/>
        <v>0.82203773322194373</v>
      </c>
      <c r="N190" s="2">
        <f t="shared" si="78"/>
        <v>0.56512809802283481</v>
      </c>
      <c r="O190" s="2">
        <f t="shared" si="78"/>
        <v>0.74183723196881091</v>
      </c>
      <c r="P190" s="2">
        <f t="shared" si="78"/>
        <v>0.60700362016151488</v>
      </c>
      <c r="Q190" s="2">
        <f t="shared" si="78"/>
        <v>0.71936786410470621</v>
      </c>
      <c r="R190" s="2">
        <f t="shared" si="78"/>
        <v>1</v>
      </c>
    </row>
    <row r="191" spans="1:18">
      <c r="A191" s="3" t="s">
        <v>6</v>
      </c>
      <c r="B191" s="2">
        <f t="shared" ref="B191:R191" si="79">(B185-12.462)/(47.629-12.462)</f>
        <v>0.40472315335309184</v>
      </c>
      <c r="C191" s="2">
        <f t="shared" si="79"/>
        <v>0.38113875553542947</v>
      </c>
      <c r="D191" s="2">
        <f t="shared" si="79"/>
        <v>0.37925530719043099</v>
      </c>
      <c r="E191" s="2">
        <f t="shared" si="79"/>
        <v>0.37731381434121408</v>
      </c>
      <c r="F191" s="2">
        <f t="shared" si="79"/>
        <v>0.38323747618281556</v>
      </c>
      <c r="G191" s="2">
        <f t="shared" si="79"/>
        <v>0.19548824915732804</v>
      </c>
      <c r="H191" s="2">
        <f t="shared" si="79"/>
        <v>0.23802399201986579</v>
      </c>
      <c r="I191" s="2">
        <f t="shared" si="79"/>
        <v>0.74908046343590717</v>
      </c>
      <c r="J191" s="2">
        <f t="shared" si="79"/>
        <v>0.32451101714095471</v>
      </c>
      <c r="K191" s="2">
        <f t="shared" si="79"/>
        <v>0.42868063351865054</v>
      </c>
      <c r="L191" s="2">
        <f t="shared" si="79"/>
        <v>0.28491375720517564</v>
      </c>
      <c r="M191" s="2">
        <f t="shared" si="79"/>
        <v>0.7177776615588316</v>
      </c>
      <c r="N191" s="2">
        <f t="shared" si="79"/>
        <v>0.33572672207829701</v>
      </c>
      <c r="O191" s="2">
        <f t="shared" si="79"/>
        <v>0.37268016410488541</v>
      </c>
      <c r="P191" s="2">
        <f t="shared" si="79"/>
        <v>0.45627530236809516</v>
      </c>
      <c r="Q191" s="2">
        <f t="shared" si="79"/>
        <v>4.7608908438937732E-2</v>
      </c>
      <c r="R191" s="2">
        <f t="shared" si="79"/>
        <v>4.8350694610708456E-2</v>
      </c>
    </row>
    <row r="192" spans="1:18">
      <c r="A192" s="3" t="s">
        <v>3</v>
      </c>
      <c r="B192" s="2">
        <f>(B186-26.527)/(203.855-26.527)</f>
        <v>0.43516357799504096</v>
      </c>
      <c r="C192" s="2">
        <f t="shared" ref="C192:R192" si="80">(C186-26.527)/(203.855-26.527)</f>
        <v>0.71560032041602117</v>
      </c>
      <c r="D192" s="2">
        <f t="shared" si="80"/>
        <v>0.25583371736835159</v>
      </c>
      <c r="E192" s="2">
        <f t="shared" si="80"/>
        <v>0.37526774793447382</v>
      </c>
      <c r="F192" s="2">
        <f t="shared" si="80"/>
        <v>0.29833109880330416</v>
      </c>
      <c r="G192" s="2">
        <f t="shared" si="80"/>
        <v>0.15127615777300013</v>
      </c>
      <c r="H192" s="2">
        <f t="shared" si="80"/>
        <v>0.14256020383983051</v>
      </c>
      <c r="I192" s="2">
        <f t="shared" si="80"/>
        <v>0.6990258313351051</v>
      </c>
      <c r="J192" s="2">
        <f t="shared" si="80"/>
        <v>3.8943628408742879E-3</v>
      </c>
      <c r="K192" s="2">
        <f t="shared" si="80"/>
        <v>0.58758906460521798</v>
      </c>
      <c r="L192" s="2">
        <f t="shared" si="80"/>
        <v>0.1714909936613413</v>
      </c>
      <c r="M192" s="2">
        <f t="shared" si="80"/>
        <v>0.25607972651330679</v>
      </c>
      <c r="N192" s="2">
        <f t="shared" si="80"/>
        <v>0.16959795512272641</v>
      </c>
      <c r="O192" s="2">
        <f t="shared" si="80"/>
        <v>0.35251927262568755</v>
      </c>
      <c r="P192" s="2">
        <f t="shared" si="80"/>
        <v>0.34958860448513385</v>
      </c>
      <c r="Q192" s="2">
        <f t="shared" si="80"/>
        <v>0.17030073719756147</v>
      </c>
      <c r="R192" s="2">
        <f t="shared" si="80"/>
        <v>-1.4300255240842248E-6</v>
      </c>
    </row>
    <row r="193" spans="1:18">
      <c r="A193" s="3" t="s">
        <v>7</v>
      </c>
      <c r="B193" s="2">
        <f>(B187-63.367)/(81.925-63.367)</f>
        <v>0.86026012054495016</v>
      </c>
      <c r="C193" s="2">
        <f t="shared" ref="C193:R193" si="81">(C187-63.367)/(81.925-63.367)</f>
        <v>0.860041031545137</v>
      </c>
      <c r="D193" s="2">
        <f t="shared" si="81"/>
        <v>0.91204240364421219</v>
      </c>
      <c r="E193" s="2">
        <f t="shared" si="81"/>
        <v>0.78008958072121959</v>
      </c>
      <c r="F193" s="2">
        <f t="shared" si="81"/>
        <v>0.83252899939280667</v>
      </c>
      <c r="G193" s="2">
        <f t="shared" si="81"/>
        <v>0.90244822428825711</v>
      </c>
      <c r="H193" s="2">
        <f t="shared" si="81"/>
        <v>0.92755080315109728</v>
      </c>
      <c r="I193" s="2">
        <f t="shared" si="81"/>
        <v>0.81433948675083301</v>
      </c>
      <c r="J193" s="2">
        <f t="shared" si="81"/>
        <v>1.000006571355724</v>
      </c>
      <c r="K193" s="2">
        <f t="shared" si="81"/>
        <v>0.861048683231741</v>
      </c>
      <c r="L193" s="2">
        <f t="shared" si="81"/>
        <v>0.88825409592602367</v>
      </c>
      <c r="M193" s="2">
        <f t="shared" si="81"/>
        <v>0.89850541085430291</v>
      </c>
      <c r="N193" s="2">
        <f t="shared" si="81"/>
        <v>0.90547104792095545</v>
      </c>
      <c r="O193" s="2">
        <f t="shared" si="81"/>
        <v>0.92571082354858558</v>
      </c>
      <c r="P193" s="2">
        <f t="shared" si="81"/>
        <v>0.96290469694221759</v>
      </c>
      <c r="Q193" s="2">
        <f t="shared" si="81"/>
        <v>0.84501457526699497</v>
      </c>
      <c r="R193" s="2">
        <f t="shared" si="81"/>
        <v>0.75288416802693847</v>
      </c>
    </row>
    <row r="194" spans="1:18">
      <c r="A194" s="4" t="s">
        <v>8</v>
      </c>
      <c r="B194" s="2">
        <f>(B188-53.856)/(123.931-53.856)</f>
        <v>0.65752165536924734</v>
      </c>
      <c r="C194" s="2">
        <f t="shared" ref="C194:R194" si="82">(C188-53.856)/(123.931-53.856)</f>
        <v>0.82315833036032837</v>
      </c>
      <c r="D194" s="2">
        <f t="shared" si="82"/>
        <v>0.67616525151623275</v>
      </c>
      <c r="E194" s="2">
        <f t="shared" si="82"/>
        <v>1.0000002854084911</v>
      </c>
      <c r="F194" s="2">
        <f t="shared" si="82"/>
        <v>0.83020834819835898</v>
      </c>
      <c r="G194" s="2">
        <f t="shared" si="82"/>
        <v>0.84180891901534083</v>
      </c>
      <c r="H194" s="2">
        <f t="shared" si="82"/>
        <v>0.64195276489475572</v>
      </c>
      <c r="I194" s="2">
        <f t="shared" si="82"/>
        <v>0.81108854798430252</v>
      </c>
      <c r="J194" s="2">
        <f t="shared" si="82"/>
        <v>0.67954263289332872</v>
      </c>
      <c r="K194" s="2">
        <f t="shared" si="82"/>
        <v>0.93036146985372814</v>
      </c>
      <c r="L194" s="2">
        <f t="shared" si="82"/>
        <v>0.94641013200142732</v>
      </c>
      <c r="M194" s="2">
        <f t="shared" si="82"/>
        <v>0.85700478059222285</v>
      </c>
      <c r="N194" s="2">
        <f t="shared" si="82"/>
        <v>0.92454741348555114</v>
      </c>
      <c r="O194" s="2">
        <f t="shared" si="82"/>
        <v>0.71318715661790943</v>
      </c>
      <c r="P194" s="2">
        <f t="shared" si="82"/>
        <v>0.58802968248305387</v>
      </c>
      <c r="Q194" s="2">
        <f t="shared" si="82"/>
        <v>0.73675062433107397</v>
      </c>
      <c r="R194" s="2">
        <f t="shared" si="82"/>
        <v>0.61403981448448097</v>
      </c>
    </row>
    <row r="195" spans="1:18">
      <c r="A195" s="4" t="s">
        <v>53</v>
      </c>
      <c r="B195" s="2">
        <f>(B189+B190+B191+B192+B193+B194)/6</f>
        <v>0.62442356875990612</v>
      </c>
      <c r="C195" s="2">
        <f t="shared" ref="C195:R195" si="83">(C189+C190+C191+C192+C193+C194)/6</f>
        <v>0.71230641417884122</v>
      </c>
      <c r="D195" s="2">
        <f t="shared" si="83"/>
        <v>0.61487681331519062</v>
      </c>
      <c r="E195" s="2">
        <f t="shared" si="83"/>
        <v>0.65432786677114874</v>
      </c>
      <c r="F195" s="2">
        <f t="shared" si="83"/>
        <v>0.61958964355702673</v>
      </c>
      <c r="G195" s="2">
        <f t="shared" si="83"/>
        <v>0.58003539211739563</v>
      </c>
      <c r="H195" s="2">
        <f t="shared" si="83"/>
        <v>0.53704368309849992</v>
      </c>
      <c r="I195" s="2">
        <f t="shared" si="83"/>
        <v>0.77928890605282286</v>
      </c>
      <c r="J195" s="2">
        <f t="shared" si="83"/>
        <v>0.54504607451502485</v>
      </c>
      <c r="K195" s="2">
        <f t="shared" si="83"/>
        <v>0.70271872822375947</v>
      </c>
      <c r="L195" s="2">
        <f t="shared" si="83"/>
        <v>0.55385242548739744</v>
      </c>
      <c r="M195" s="2">
        <f t="shared" si="83"/>
        <v>0.75856755147420929</v>
      </c>
      <c r="N195" s="2">
        <f t="shared" si="83"/>
        <v>0.57578479192609422</v>
      </c>
      <c r="O195" s="2">
        <f t="shared" si="83"/>
        <v>0.62952879163343234</v>
      </c>
      <c r="P195" s="2">
        <f t="shared" si="83"/>
        <v>0.62148360917611545</v>
      </c>
      <c r="Q195" s="2">
        <f t="shared" si="83"/>
        <v>0.53399343364255802</v>
      </c>
      <c r="R195" s="2">
        <f t="shared" si="83"/>
        <v>0.55704903546053453</v>
      </c>
    </row>
    <row r="197" spans="1:18">
      <c r="A197" s="1" t="s">
        <v>9</v>
      </c>
      <c r="B197" s="2" t="s">
        <v>10</v>
      </c>
      <c r="C197" s="2" t="s">
        <v>11</v>
      </c>
      <c r="D197" s="2" t="s">
        <v>12</v>
      </c>
      <c r="E197" s="2" t="s">
        <v>13</v>
      </c>
      <c r="F197" s="2" t="s">
        <v>14</v>
      </c>
      <c r="G197" s="2" t="s">
        <v>15</v>
      </c>
      <c r="H197" s="2" t="s">
        <v>16</v>
      </c>
      <c r="I197" s="2" t="s">
        <v>17</v>
      </c>
      <c r="J197" s="2" t="s">
        <v>18</v>
      </c>
      <c r="K197" s="2" t="s">
        <v>19</v>
      </c>
      <c r="L197" s="2" t="s">
        <v>20</v>
      </c>
      <c r="M197" s="2" t="s">
        <v>21</v>
      </c>
      <c r="N197" s="2" t="s">
        <v>22</v>
      </c>
      <c r="O197" s="2" t="s">
        <v>23</v>
      </c>
      <c r="P197" s="2" t="s">
        <v>24</v>
      </c>
      <c r="Q197" s="2" t="s">
        <v>25</v>
      </c>
      <c r="R197" s="2" t="s">
        <v>26</v>
      </c>
    </row>
    <row r="198" spans="1:18">
      <c r="B198" s="2">
        <v>2004</v>
      </c>
      <c r="C198" s="2">
        <v>2004</v>
      </c>
      <c r="D198" s="2">
        <v>2004</v>
      </c>
      <c r="E198" s="2">
        <v>2004</v>
      </c>
      <c r="F198" s="2">
        <v>2004</v>
      </c>
      <c r="G198" s="2">
        <v>2004</v>
      </c>
      <c r="H198" s="2">
        <v>2004</v>
      </c>
      <c r="I198" s="2">
        <v>2004</v>
      </c>
      <c r="J198" s="2">
        <v>2004</v>
      </c>
      <c r="K198" s="2">
        <v>2004</v>
      </c>
      <c r="L198" s="2">
        <v>2004</v>
      </c>
      <c r="M198" s="2">
        <v>2004</v>
      </c>
      <c r="N198" s="2">
        <v>2004</v>
      </c>
      <c r="O198" s="2">
        <v>2004</v>
      </c>
      <c r="P198" s="2">
        <v>2004</v>
      </c>
      <c r="Q198" s="2">
        <v>2004</v>
      </c>
      <c r="R198" s="2">
        <v>2004</v>
      </c>
    </row>
    <row r="199" spans="1:18">
      <c r="A199" s="1" t="s">
        <v>0</v>
      </c>
      <c r="B199" s="3">
        <v>10019.07087522107</v>
      </c>
      <c r="C199" s="3">
        <v>9170.4713390318484</v>
      </c>
      <c r="D199" s="3">
        <v>12227.550168951928</v>
      </c>
      <c r="E199" s="3">
        <v>3718.6369847281862</v>
      </c>
      <c r="F199" s="3">
        <v>7060.3579010944313</v>
      </c>
      <c r="G199" s="3">
        <v>8665.7458515589824</v>
      </c>
      <c r="H199" s="3">
        <v>2074.4738784204892</v>
      </c>
      <c r="I199" s="3">
        <v>3014.9028246897101</v>
      </c>
      <c r="J199" s="3">
        <v>11733.707773991495</v>
      </c>
      <c r="K199" s="3">
        <v>11807.341681966089</v>
      </c>
      <c r="L199" s="3">
        <v>6012.6014792264104</v>
      </c>
      <c r="M199" s="3">
        <v>2957.1751656448905</v>
      </c>
      <c r="N199" s="3">
        <v>6538.8625240471056</v>
      </c>
      <c r="O199" s="3">
        <v>6971.96930835905</v>
      </c>
      <c r="P199" s="3">
        <v>10781.459310435821</v>
      </c>
      <c r="Q199" s="3">
        <v>8961.5244160576949</v>
      </c>
      <c r="R199" s="3">
        <v>9104.3772109019228</v>
      </c>
    </row>
    <row r="200" spans="1:18">
      <c r="A200" s="1" t="s">
        <v>1</v>
      </c>
      <c r="B200" s="2">
        <v>23340</v>
      </c>
      <c r="C200" s="2">
        <v>15463</v>
      </c>
      <c r="D200" s="2">
        <v>29891</v>
      </c>
      <c r="E200" s="2">
        <v>7124</v>
      </c>
      <c r="F200" s="2">
        <v>14995</v>
      </c>
      <c r="G200" s="2">
        <v>16630</v>
      </c>
      <c r="H200" s="2">
        <v>5881</v>
      </c>
      <c r="I200" s="2">
        <v>8670</v>
      </c>
      <c r="J200" s="2">
        <v>21400</v>
      </c>
      <c r="K200" s="2">
        <v>19051</v>
      </c>
      <c r="L200" s="2">
        <v>13001</v>
      </c>
      <c r="M200" s="2">
        <v>7189</v>
      </c>
      <c r="N200" s="2">
        <v>13961</v>
      </c>
      <c r="O200" s="2">
        <v>14850</v>
      </c>
      <c r="P200" s="2">
        <v>25062</v>
      </c>
      <c r="Q200" s="2">
        <v>24666</v>
      </c>
      <c r="R200" s="2">
        <v>23475</v>
      </c>
    </row>
    <row r="201" spans="1:18">
      <c r="A201" s="1" t="s">
        <v>2</v>
      </c>
      <c r="B201" s="2">
        <v>26.257337222850492</v>
      </c>
      <c r="C201" s="2">
        <v>11.284624024444994</v>
      </c>
      <c r="D201" s="2">
        <v>28.306055092701467</v>
      </c>
      <c r="E201" s="2">
        <v>45.814529648052762</v>
      </c>
      <c r="F201" s="2">
        <v>17.119072530071939</v>
      </c>
      <c r="G201" s="2">
        <v>19.905022616252833</v>
      </c>
      <c r="H201" s="2">
        <v>30.699364683152751</v>
      </c>
      <c r="I201" s="2">
        <v>28.728459834674759</v>
      </c>
      <c r="J201" s="2">
        <v>43.422185095180232</v>
      </c>
      <c r="K201" s="2">
        <v>22.890081212140672</v>
      </c>
      <c r="L201" s="2">
        <v>21.58940211843937</v>
      </c>
      <c r="M201" s="2">
        <v>16.114372136455874</v>
      </c>
      <c r="N201" s="2">
        <v>31.647316362677046</v>
      </c>
      <c r="O201" s="2">
        <v>20.772429419261815</v>
      </c>
      <c r="P201" s="2">
        <v>16.756011507549129</v>
      </c>
      <c r="Q201" s="2">
        <v>20.216365920270722</v>
      </c>
      <c r="R201" s="2">
        <v>38.827715972255852</v>
      </c>
    </row>
    <row r="202" spans="1:18">
      <c r="A202" s="1" t="s">
        <v>3</v>
      </c>
      <c r="B202" s="2">
        <v>43.424714806603006</v>
      </c>
      <c r="C202" s="2">
        <v>115.32293667076362</v>
      </c>
      <c r="D202" s="2">
        <v>68.258813983784307</v>
      </c>
      <c r="E202" s="2">
        <v>65.352067699407783</v>
      </c>
      <c r="F202" s="2">
        <v>35.863426933799495</v>
      </c>
      <c r="G202" s="2">
        <v>95.736716024978463</v>
      </c>
      <c r="H202" s="2">
        <v>36.857463537976734</v>
      </c>
      <c r="I202" s="2">
        <v>59.761292156028354</v>
      </c>
      <c r="J202" s="2">
        <v>210.37426589712433</v>
      </c>
      <c r="K202" s="2">
        <v>54.97902261419506</v>
      </c>
      <c r="L202" s="2">
        <v>39.270387999778094</v>
      </c>
      <c r="M202" s="2">
        <v>102.64252083448395</v>
      </c>
      <c r="N202" s="2">
        <v>136.53769580163328</v>
      </c>
      <c r="O202" s="2">
        <v>86.948517579206197</v>
      </c>
      <c r="P202" s="2">
        <v>49.737176797381515</v>
      </c>
      <c r="Q202" s="2">
        <v>61.476688078955178</v>
      </c>
      <c r="R202" s="2">
        <v>55.367455602321961</v>
      </c>
    </row>
    <row r="203" spans="1:18">
      <c r="A203" s="6" t="s">
        <v>27</v>
      </c>
      <c r="B203" s="5">
        <v>74.545585365853668</v>
      </c>
      <c r="C203" s="5">
        <v>72.563414634146341</v>
      </c>
      <c r="D203" s="5">
        <v>78.089585365853665</v>
      </c>
      <c r="E203" s="5">
        <v>71.962341463414646</v>
      </c>
      <c r="F203" s="5">
        <v>72.036780487804876</v>
      </c>
      <c r="G203" s="5">
        <v>78.428414634146336</v>
      </c>
      <c r="H203" s="5">
        <v>63.019317073170747</v>
      </c>
      <c r="I203" s="5">
        <v>66.791243902439035</v>
      </c>
      <c r="J203" s="5">
        <v>72.821560975609756</v>
      </c>
      <c r="K203" s="5">
        <v>75.25</v>
      </c>
      <c r="L203" s="5">
        <v>72.128682926829285</v>
      </c>
      <c r="M203" s="5">
        <v>67.313951219512205</v>
      </c>
      <c r="N203" s="5">
        <v>73.052951219512209</v>
      </c>
      <c r="O203" s="5">
        <v>73.302439024390253</v>
      </c>
      <c r="P203" s="5">
        <v>71.648048780487827</v>
      </c>
      <c r="Q203" s="5">
        <v>75.216341463414636</v>
      </c>
      <c r="R203" s="5">
        <v>72.977804878048801</v>
      </c>
    </row>
    <row r="204" spans="1:18">
      <c r="A204" s="6" t="s">
        <v>48</v>
      </c>
      <c r="B204" s="5">
        <v>85.817850000000007</v>
      </c>
      <c r="C204" s="5">
        <v>88.721879999999999</v>
      </c>
      <c r="D204" s="5">
        <v>89.416200000000003</v>
      </c>
      <c r="E204" s="5">
        <v>70.264875107962197</v>
      </c>
      <c r="F204" s="5">
        <v>78.496979999999994</v>
      </c>
      <c r="G204" s="5">
        <v>78.103200000000001</v>
      </c>
      <c r="H204" s="5">
        <v>51.388159999999999</v>
      </c>
      <c r="I204" s="5">
        <v>61.708370000000002</v>
      </c>
      <c r="J204" s="5">
        <v>73.586309999999997</v>
      </c>
      <c r="K204" s="5">
        <v>81.779480000000007</v>
      </c>
      <c r="L204" s="5">
        <v>85.220010000000002</v>
      </c>
      <c r="M204" s="5">
        <v>83.961200000000005</v>
      </c>
      <c r="N204" s="5">
        <v>66.286469999999994</v>
      </c>
      <c r="O204" s="5">
        <v>82.684470000000005</v>
      </c>
      <c r="P204" s="5">
        <v>85.392759999999996</v>
      </c>
      <c r="Q204" s="5">
        <v>107.15037</v>
      </c>
      <c r="R204" s="5">
        <v>71.834779999999995</v>
      </c>
    </row>
    <row r="205" spans="1:18">
      <c r="A205" s="3" t="s">
        <v>4</v>
      </c>
      <c r="B205" s="2">
        <f>(B199-2074.474)/(46741.65-2074.474)</f>
        <v>0.17786208098808554</v>
      </c>
      <c r="C205" s="2">
        <f t="shared" ref="C205:R205" si="84">(C199-2074.474)/(46741.65-2074.474)</f>
        <v>0.15886380054633067</v>
      </c>
      <c r="D205" s="2">
        <f t="shared" si="84"/>
        <v>0.22730508346782272</v>
      </c>
      <c r="E205" s="2">
        <f t="shared" si="84"/>
        <v>3.6809199326328264E-2</v>
      </c>
      <c r="F205" s="2">
        <f t="shared" si="84"/>
        <v>0.11162299360708255</v>
      </c>
      <c r="G205" s="2">
        <f t="shared" si="84"/>
        <v>0.1475641050501823</v>
      </c>
      <c r="H205" s="2">
        <f t="shared" si="84"/>
        <v>-2.7218983120881844E-9</v>
      </c>
      <c r="I205" s="2">
        <f t="shared" si="84"/>
        <v>2.1054136592152366E-2</v>
      </c>
      <c r="J205" s="2">
        <f t="shared" si="84"/>
        <v>0.21624903651825883</v>
      </c>
      <c r="K205" s="2">
        <f t="shared" si="84"/>
        <v>0.21789753804820991</v>
      </c>
      <c r="L205" s="2">
        <f t="shared" si="84"/>
        <v>8.8166027761110544E-2</v>
      </c>
      <c r="M205" s="2">
        <f t="shared" si="84"/>
        <v>1.9761741052196594E-2</v>
      </c>
      <c r="N205" s="2">
        <f t="shared" si="84"/>
        <v>9.9947857103101959E-2</v>
      </c>
      <c r="O205" s="2">
        <f t="shared" si="84"/>
        <v>0.10964416708052127</v>
      </c>
      <c r="P205" s="2">
        <f t="shared" si="84"/>
        <v>0.19493028416293479</v>
      </c>
      <c r="Q205" s="2">
        <f t="shared" si="84"/>
        <v>0.15418593770194236</v>
      </c>
      <c r="R205" s="2">
        <f t="shared" si="84"/>
        <v>0.15738409813286433</v>
      </c>
    </row>
    <row r="206" spans="1:18">
      <c r="A206" s="3" t="s">
        <v>5</v>
      </c>
      <c r="B206" s="2">
        <f>(B200-5881)/(62911-5881)</f>
        <v>0.30613712081360689</v>
      </c>
      <c r="C206" s="2">
        <f t="shared" ref="C206:R206" si="85">(C200-5881)/(62911-5881)</f>
        <v>0.16801683324566019</v>
      </c>
      <c r="D206" s="2">
        <f t="shared" si="85"/>
        <v>0.42100648781343153</v>
      </c>
      <c r="E206" s="2">
        <f t="shared" si="85"/>
        <v>2.179554620375241E-2</v>
      </c>
      <c r="F206" s="2">
        <f t="shared" si="85"/>
        <v>0.15981062598632298</v>
      </c>
      <c r="G206" s="2">
        <f t="shared" si="85"/>
        <v>0.1884797475013151</v>
      </c>
      <c r="H206" s="2">
        <f t="shared" si="85"/>
        <v>0</v>
      </c>
      <c r="I206" s="2">
        <f t="shared" si="85"/>
        <v>4.8904085568998772E-2</v>
      </c>
      <c r="J206" s="2">
        <f t="shared" si="85"/>
        <v>0.27211993687532876</v>
      </c>
      <c r="K206" s="2">
        <f t="shared" si="85"/>
        <v>0.23093108890057865</v>
      </c>
      <c r="L206" s="2">
        <f t="shared" si="85"/>
        <v>0.12484657197965983</v>
      </c>
      <c r="M206" s="2">
        <f t="shared" si="85"/>
        <v>2.2935297211993687E-2</v>
      </c>
      <c r="N206" s="2">
        <f t="shared" si="85"/>
        <v>0.14167981763983867</v>
      </c>
      <c r="O206" s="2">
        <f t="shared" si="85"/>
        <v>0.15726810450640014</v>
      </c>
      <c r="P206" s="2">
        <f t="shared" si="85"/>
        <v>0.33633175521655267</v>
      </c>
      <c r="Q206" s="2">
        <f t="shared" si="85"/>
        <v>0.32938804138172889</v>
      </c>
      <c r="R206" s="2">
        <f t="shared" si="85"/>
        <v>0.30850429598456952</v>
      </c>
    </row>
    <row r="207" spans="1:18">
      <c r="A207" s="3" t="s">
        <v>6</v>
      </c>
      <c r="B207" s="2">
        <f>(B201-11.285)/(45.815-11.285)</f>
        <v>0.4336037423356644</v>
      </c>
      <c r="C207" s="2">
        <f t="shared" ref="C207:R207" si="86">(C201-11.285)/(45.815-11.285)</f>
        <v>-1.0888374022753575E-5</v>
      </c>
      <c r="D207" s="2">
        <f t="shared" si="86"/>
        <v>0.49293527635972967</v>
      </c>
      <c r="E207" s="2">
        <f t="shared" si="86"/>
        <v>0.99998637845504657</v>
      </c>
      <c r="F207" s="2">
        <f t="shared" si="86"/>
        <v>0.16895663278517054</v>
      </c>
      <c r="G207" s="2">
        <f t="shared" si="86"/>
        <v>0.24963865091957232</v>
      </c>
      <c r="H207" s="2">
        <f t="shared" si="86"/>
        <v>0.5622462983826455</v>
      </c>
      <c r="I207" s="2">
        <f t="shared" si="86"/>
        <v>0.50516825469663362</v>
      </c>
      <c r="J207" s="2">
        <f t="shared" si="86"/>
        <v>0.93070330423342684</v>
      </c>
      <c r="K207" s="2">
        <f t="shared" si="86"/>
        <v>0.33608691607705388</v>
      </c>
      <c r="L207" s="2">
        <f t="shared" si="86"/>
        <v>0.29841882764087374</v>
      </c>
      <c r="M207" s="2">
        <f t="shared" si="86"/>
        <v>0.13986018350581736</v>
      </c>
      <c r="N207" s="2">
        <f t="shared" si="86"/>
        <v>0.58969928649513592</v>
      </c>
      <c r="O207" s="2">
        <f t="shared" si="86"/>
        <v>0.27475903328299495</v>
      </c>
      <c r="P207" s="2">
        <f t="shared" si="86"/>
        <v>0.15844226781202225</v>
      </c>
      <c r="Q207" s="2">
        <f t="shared" si="86"/>
        <v>0.25865525398988476</v>
      </c>
      <c r="R207" s="2">
        <f t="shared" si="86"/>
        <v>0.79764598819159716</v>
      </c>
    </row>
    <row r="208" spans="1:18">
      <c r="A208" s="3" t="s">
        <v>3</v>
      </c>
      <c r="B208" s="2">
        <f t="shared" ref="B208:R208" si="87">(B202-24.463)/(210.374-24.463)</f>
        <v>0.1019935066058652</v>
      </c>
      <c r="C208" s="2">
        <f t="shared" si="87"/>
        <v>0.48872813696211431</v>
      </c>
      <c r="D208" s="2">
        <f t="shared" si="87"/>
        <v>0.23557408643804997</v>
      </c>
      <c r="E208" s="2">
        <f t="shared" si="87"/>
        <v>0.21993893690748681</v>
      </c>
      <c r="F208" s="2">
        <f t="shared" si="87"/>
        <v>6.132196015189792E-2</v>
      </c>
      <c r="G208" s="2">
        <f t="shared" si="87"/>
        <v>0.38337546473838802</v>
      </c>
      <c r="H208" s="2">
        <f t="shared" si="87"/>
        <v>6.6668801404848196E-2</v>
      </c>
      <c r="I208" s="2">
        <f t="shared" si="87"/>
        <v>0.18986661443394071</v>
      </c>
      <c r="J208" s="2">
        <f t="shared" si="87"/>
        <v>1.0000014302387934</v>
      </c>
      <c r="K208" s="2">
        <f t="shared" si="87"/>
        <v>0.16414317933954989</v>
      </c>
      <c r="L208" s="2">
        <f t="shared" si="87"/>
        <v>7.9647723909709991E-2</v>
      </c>
      <c r="M208" s="2">
        <f t="shared" si="87"/>
        <v>0.42052122163015609</v>
      </c>
      <c r="N208" s="2">
        <f t="shared" si="87"/>
        <v>0.60284058394410922</v>
      </c>
      <c r="O208" s="2">
        <f t="shared" si="87"/>
        <v>0.3361044670794423</v>
      </c>
      <c r="P208" s="2">
        <f t="shared" si="87"/>
        <v>0.13594772120736004</v>
      </c>
      <c r="Q208" s="2">
        <f t="shared" si="87"/>
        <v>0.19909358821670142</v>
      </c>
      <c r="R208" s="2">
        <f t="shared" si="87"/>
        <v>0.16623252848041245</v>
      </c>
    </row>
    <row r="209" spans="1:18">
      <c r="A209" s="4" t="s">
        <v>7</v>
      </c>
      <c r="B209" s="2">
        <f t="shared" ref="B209:R209" si="88">(B203-63.019)/(82.03-63.019)</f>
        <v>0.60631136530712049</v>
      </c>
      <c r="C209" s="2">
        <f t="shared" si="88"/>
        <v>0.50204695356090379</v>
      </c>
      <c r="D209" s="2">
        <f t="shared" si="88"/>
        <v>0.79272975466065254</v>
      </c>
      <c r="E209" s="2">
        <f t="shared" si="88"/>
        <v>0.47042982817393331</v>
      </c>
      <c r="F209" s="2">
        <f t="shared" si="88"/>
        <v>0.47434540465019598</v>
      </c>
      <c r="G209" s="2">
        <f t="shared" si="88"/>
        <v>0.81055255558078665</v>
      </c>
      <c r="H209" s="2">
        <f t="shared" si="88"/>
        <v>1.6678405699251586E-5</v>
      </c>
      <c r="I209" s="2">
        <f t="shared" si="88"/>
        <v>0.19842427554779002</v>
      </c>
      <c r="J209" s="2">
        <f t="shared" si="88"/>
        <v>0.51562574170794573</v>
      </c>
      <c r="K209" s="2">
        <f t="shared" si="88"/>
        <v>0.6433643679974751</v>
      </c>
      <c r="L209" s="2">
        <f t="shared" si="88"/>
        <v>0.47917957639415526</v>
      </c>
      <c r="M209" s="2">
        <f t="shared" si="88"/>
        <v>0.22591926881869476</v>
      </c>
      <c r="N209" s="2">
        <f t="shared" si="88"/>
        <v>0.52779712900490294</v>
      </c>
      <c r="O209" s="2">
        <f t="shared" si="88"/>
        <v>0.54092046838095065</v>
      </c>
      <c r="P209" s="2">
        <f t="shared" si="88"/>
        <v>0.45389767926399593</v>
      </c>
      <c r="Q209" s="2">
        <f t="shared" si="88"/>
        <v>0.64159389108487908</v>
      </c>
      <c r="R209" s="2">
        <f t="shared" si="88"/>
        <v>0.52384434685438963</v>
      </c>
    </row>
    <row r="210" spans="1:18">
      <c r="A210" s="4" t="s">
        <v>8</v>
      </c>
      <c r="B210" s="2">
        <f t="shared" ref="B210:R210" si="89">(B204-51.388)/(123.4-51.388)</f>
        <v>0.47811267566516702</v>
      </c>
      <c r="C210" s="2">
        <f t="shared" si="89"/>
        <v>0.51843970449369547</v>
      </c>
      <c r="D210" s="2">
        <f t="shared" si="89"/>
        <v>0.52808143087263237</v>
      </c>
      <c r="E210" s="2">
        <f t="shared" si="89"/>
        <v>0.26213513175529357</v>
      </c>
      <c r="F210" s="2">
        <f t="shared" si="89"/>
        <v>0.37645086929956112</v>
      </c>
      <c r="G210" s="2">
        <f t="shared" si="89"/>
        <v>0.37098261400877636</v>
      </c>
      <c r="H210" s="2">
        <f t="shared" si="89"/>
        <v>2.2218519135845165E-6</v>
      </c>
      <c r="I210" s="2">
        <f t="shared" si="89"/>
        <v>0.14331458645781264</v>
      </c>
      <c r="J210" s="2">
        <f t="shared" si="89"/>
        <v>0.30825848469699496</v>
      </c>
      <c r="K210" s="2">
        <f t="shared" si="89"/>
        <v>0.42203354996389503</v>
      </c>
      <c r="L210" s="2">
        <f t="shared" si="89"/>
        <v>0.46981072599011281</v>
      </c>
      <c r="M210" s="2">
        <f t="shared" si="89"/>
        <v>0.45233016719435659</v>
      </c>
      <c r="N210" s="2">
        <f t="shared" si="89"/>
        <v>0.20688871299227901</v>
      </c>
      <c r="O210" s="2">
        <f t="shared" si="89"/>
        <v>0.43460076098428047</v>
      </c>
      <c r="P210" s="2">
        <f t="shared" si="89"/>
        <v>0.47220963172804531</v>
      </c>
      <c r="Q210" s="2">
        <f t="shared" si="89"/>
        <v>0.77434830306060098</v>
      </c>
      <c r="R210" s="2">
        <f t="shared" si="89"/>
        <v>0.28393573293339996</v>
      </c>
    </row>
    <row r="211" spans="1:18">
      <c r="A211" s="3" t="s">
        <v>54</v>
      </c>
      <c r="B211" s="2">
        <f t="shared" ref="B211:R211" si="90">(B205+B206+B207+B208+B209+B210)/6</f>
        <v>0.35067008195258492</v>
      </c>
      <c r="C211" s="2">
        <f t="shared" si="90"/>
        <v>0.30601409007244695</v>
      </c>
      <c r="D211" s="2">
        <f t="shared" si="90"/>
        <v>0.44960535326871981</v>
      </c>
      <c r="E211" s="2">
        <f t="shared" si="90"/>
        <v>0.33518250347030687</v>
      </c>
      <c r="F211" s="2">
        <f t="shared" si="90"/>
        <v>0.2254180810800385</v>
      </c>
      <c r="G211" s="2">
        <f t="shared" si="90"/>
        <v>0.35843218963317014</v>
      </c>
      <c r="H211" s="2">
        <f t="shared" si="90"/>
        <v>0.10482233288720139</v>
      </c>
      <c r="I211" s="2">
        <f t="shared" si="90"/>
        <v>0.18445532554955468</v>
      </c>
      <c r="J211" s="2">
        <f t="shared" si="90"/>
        <v>0.54049298904512477</v>
      </c>
      <c r="K211" s="2">
        <f t="shared" si="90"/>
        <v>0.33574277338779379</v>
      </c>
      <c r="L211" s="2">
        <f t="shared" si="90"/>
        <v>0.25667824227927033</v>
      </c>
      <c r="M211" s="2">
        <f t="shared" si="90"/>
        <v>0.21355464656886916</v>
      </c>
      <c r="N211" s="2">
        <f t="shared" si="90"/>
        <v>0.3614755645298946</v>
      </c>
      <c r="O211" s="2">
        <f t="shared" si="90"/>
        <v>0.30888283355243162</v>
      </c>
      <c r="P211" s="2">
        <f t="shared" si="90"/>
        <v>0.29195988989848515</v>
      </c>
      <c r="Q211" s="2">
        <f t="shared" si="90"/>
        <v>0.39287750257262294</v>
      </c>
      <c r="R211" s="2">
        <f t="shared" si="90"/>
        <v>0.37292449842953884</v>
      </c>
    </row>
    <row r="213" spans="1:18">
      <c r="A213" s="1" t="s">
        <v>9</v>
      </c>
      <c r="B213" s="2" t="s">
        <v>28</v>
      </c>
      <c r="C213" s="2" t="s">
        <v>29</v>
      </c>
      <c r="D213" s="2" t="s">
        <v>30</v>
      </c>
      <c r="E213" s="2" t="s">
        <v>31</v>
      </c>
      <c r="F213" s="2" t="s">
        <v>32</v>
      </c>
      <c r="G213" s="2" t="s">
        <v>33</v>
      </c>
      <c r="H213" s="2" t="s">
        <v>34</v>
      </c>
      <c r="I213" s="2" t="s">
        <v>35</v>
      </c>
      <c r="J213" s="2" t="s">
        <v>36</v>
      </c>
      <c r="K213" s="2" t="s">
        <v>37</v>
      </c>
      <c r="L213" s="2" t="s">
        <v>38</v>
      </c>
      <c r="M213" s="2" t="s">
        <v>39</v>
      </c>
      <c r="N213" s="2" t="s">
        <v>40</v>
      </c>
      <c r="O213" s="2" t="s">
        <v>41</v>
      </c>
      <c r="P213" s="2" t="s">
        <v>42</v>
      </c>
      <c r="Q213" s="2" t="s">
        <v>43</v>
      </c>
      <c r="R213" s="2" t="s">
        <v>44</v>
      </c>
    </row>
    <row r="214" spans="1:18">
      <c r="B214" s="2">
        <v>2004</v>
      </c>
      <c r="C214" s="2">
        <v>2004</v>
      </c>
      <c r="D214" s="2">
        <v>2004</v>
      </c>
      <c r="E214" s="2">
        <v>2004</v>
      </c>
      <c r="F214" s="2">
        <v>2004</v>
      </c>
      <c r="G214" s="2">
        <v>2004</v>
      </c>
      <c r="H214" s="2">
        <v>2004</v>
      </c>
      <c r="I214" s="2">
        <v>2004</v>
      </c>
      <c r="J214" s="2">
        <v>2004</v>
      </c>
      <c r="K214" s="2">
        <v>2004</v>
      </c>
      <c r="L214" s="2">
        <v>2004</v>
      </c>
      <c r="M214" s="2">
        <v>2004</v>
      </c>
      <c r="N214" s="2">
        <v>2004</v>
      </c>
      <c r="O214" s="2">
        <v>2004</v>
      </c>
      <c r="P214" s="2">
        <v>2004</v>
      </c>
      <c r="Q214" s="2">
        <v>2004</v>
      </c>
      <c r="R214" s="2">
        <v>2004</v>
      </c>
    </row>
    <row r="215" spans="1:18">
      <c r="A215" s="1" t="s">
        <v>0</v>
      </c>
      <c r="B215" s="3">
        <v>31939.792688409838</v>
      </c>
      <c r="C215" s="3">
        <v>31809.87325238331</v>
      </c>
      <c r="D215" s="3">
        <v>34343.671862287811</v>
      </c>
      <c r="E215" s="3">
        <v>32490.367125791054</v>
      </c>
      <c r="F215" s="3">
        <v>29940.150727022839</v>
      </c>
      <c r="G215" s="3">
        <v>29142.937048617234</v>
      </c>
      <c r="H215" s="3">
        <v>28226.874657549051</v>
      </c>
      <c r="I215" s="3">
        <v>37417.114074003206</v>
      </c>
      <c r="J215" s="3">
        <v>30052.702334440091</v>
      </c>
      <c r="K215" s="3">
        <v>34480.962447013597</v>
      </c>
      <c r="L215" s="3">
        <v>24960.10543658345</v>
      </c>
      <c r="M215" s="3">
        <v>46741.645555591567</v>
      </c>
      <c r="N215" s="3">
        <v>26881.967170785982</v>
      </c>
      <c r="O215" s="3">
        <v>31828.022536307075</v>
      </c>
      <c r="P215" s="3">
        <v>36224.895628376973</v>
      </c>
      <c r="Q215" s="3">
        <v>32471.943349714129</v>
      </c>
      <c r="R215" s="3">
        <v>43273.710981873694</v>
      </c>
    </row>
    <row r="216" spans="1:18">
      <c r="A216" s="1" t="s">
        <v>1</v>
      </c>
      <c r="B216" s="2">
        <v>47174</v>
      </c>
      <c r="C216" s="2">
        <v>54040</v>
      </c>
      <c r="D216" s="2">
        <v>48176</v>
      </c>
      <c r="E216" s="2">
        <v>46497</v>
      </c>
      <c r="F216" s="2">
        <v>48406</v>
      </c>
      <c r="G216" s="2">
        <v>51073</v>
      </c>
      <c r="H216" s="2">
        <v>46375</v>
      </c>
      <c r="I216" s="2">
        <v>51894</v>
      </c>
      <c r="J216" s="2">
        <v>42717</v>
      </c>
      <c r="K216" s="2">
        <v>44918</v>
      </c>
      <c r="L216" s="2">
        <v>36079</v>
      </c>
      <c r="M216" s="2">
        <v>52762</v>
      </c>
      <c r="N216" s="2">
        <v>38965</v>
      </c>
      <c r="O216" s="2">
        <v>47536</v>
      </c>
      <c r="P216" s="2">
        <v>40337</v>
      </c>
      <c r="Q216" s="2">
        <v>47079</v>
      </c>
      <c r="R216" s="2">
        <v>62911</v>
      </c>
    </row>
    <row r="217" spans="1:18">
      <c r="A217" s="1" t="s">
        <v>2</v>
      </c>
      <c r="B217" s="2">
        <v>26.541706767942085</v>
      </c>
      <c r="C217" s="2">
        <v>25.809596720759938</v>
      </c>
      <c r="D217" s="2">
        <v>25.035440225701951</v>
      </c>
      <c r="E217" s="2">
        <v>25.231554106589915</v>
      </c>
      <c r="F217" s="2">
        <v>26.514783339681873</v>
      </c>
      <c r="G217" s="2">
        <v>19.621015530706671</v>
      </c>
      <c r="H217" s="2">
        <v>21.697373915325439</v>
      </c>
      <c r="I217" s="2">
        <v>39.445054104123727</v>
      </c>
      <c r="J217" s="2">
        <v>24.461090201345854</v>
      </c>
      <c r="K217" s="2">
        <v>26.356925307013256</v>
      </c>
      <c r="L217" s="2">
        <v>23.675729836800514</v>
      </c>
      <c r="M217" s="2">
        <v>33.70846388545948</v>
      </c>
      <c r="N217" s="2">
        <v>24.308743435707374</v>
      </c>
      <c r="O217" s="2">
        <v>25.170380430799899</v>
      </c>
      <c r="P217" s="2">
        <v>27.810472435976685</v>
      </c>
      <c r="Q217" s="2">
        <v>14.376675687005628</v>
      </c>
      <c r="R217" s="2">
        <v>14.111105460340061</v>
      </c>
    </row>
    <row r="218" spans="1:18">
      <c r="A218" s="1" t="s">
        <v>3</v>
      </c>
      <c r="B218" s="2">
        <v>99.190096896213475</v>
      </c>
      <c r="C218" s="2">
        <v>146.95987119232922</v>
      </c>
      <c r="D218" s="2">
        <v>72.529990564766138</v>
      </c>
      <c r="E218" s="2">
        <v>85.764094449521892</v>
      </c>
      <c r="F218" s="2">
        <v>73.200845888116845</v>
      </c>
      <c r="G218" s="2">
        <v>51.882860048715493</v>
      </c>
      <c r="H218" s="2">
        <v>49.677602720053237</v>
      </c>
      <c r="I218" s="2">
        <v>151.48798428796709</v>
      </c>
      <c r="J218" s="2">
        <v>24.463373191697933</v>
      </c>
      <c r="K218" s="2">
        <v>125.41226912928761</v>
      </c>
      <c r="L218" s="2">
        <v>57.890776222018026</v>
      </c>
      <c r="M218" s="2">
        <v>70.198058890514218</v>
      </c>
      <c r="N218" s="2">
        <v>55.866439080749416</v>
      </c>
      <c r="O218" s="2">
        <v>83.732769826795391</v>
      </c>
      <c r="P218" s="2">
        <v>83.314560338042128</v>
      </c>
      <c r="Q218" s="2">
        <v>53.801001932691662</v>
      </c>
      <c r="R218" s="2">
        <v>25.251318042346877</v>
      </c>
    </row>
    <row r="219" spans="1:18">
      <c r="A219" s="6" t="s">
        <v>27</v>
      </c>
      <c r="B219" s="2">
        <v>79.180487804878055</v>
      </c>
      <c r="C219" s="2">
        <v>78.878048780487802</v>
      </c>
      <c r="D219" s="2">
        <v>80.141463414634146</v>
      </c>
      <c r="E219" s="2">
        <v>77.492682926829275</v>
      </c>
      <c r="F219" s="2">
        <v>78.714634146341481</v>
      </c>
      <c r="G219" s="2">
        <v>80.163414634146349</v>
      </c>
      <c r="H219" s="2">
        <v>80.729268292682931</v>
      </c>
      <c r="I219" s="2">
        <v>78.198536585365872</v>
      </c>
      <c r="J219" s="2">
        <v>82.03024390243904</v>
      </c>
      <c r="K219" s="2">
        <v>79.095121951219525</v>
      </c>
      <c r="L219" s="2">
        <v>79.548780487804876</v>
      </c>
      <c r="M219" s="2">
        <v>79.841463414634163</v>
      </c>
      <c r="N219" s="2">
        <v>79.870731707317091</v>
      </c>
      <c r="O219" s="2">
        <v>80.497560975609773</v>
      </c>
      <c r="P219" s="2">
        <v>81.0878048780488</v>
      </c>
      <c r="Q219" s="2">
        <v>78.746341463414637</v>
      </c>
      <c r="R219" s="2">
        <v>77.339024390243921</v>
      </c>
    </row>
    <row r="220" spans="1:18">
      <c r="A220" s="6" t="s">
        <v>8</v>
      </c>
      <c r="B220" s="2">
        <v>99.009</v>
      </c>
      <c r="C220" s="2">
        <v>110.66540000000001</v>
      </c>
      <c r="D220" s="2">
        <v>107.009321112953</v>
      </c>
      <c r="E220" s="2">
        <v>123.40039</v>
      </c>
      <c r="F220" s="2">
        <v>110.97922</v>
      </c>
      <c r="G220" s="2">
        <v>108.16503</v>
      </c>
      <c r="H220" s="2">
        <v>98.900980000000004</v>
      </c>
      <c r="I220" s="2">
        <v>109.21455</v>
      </c>
      <c r="J220" s="2">
        <v>101.64373000000001</v>
      </c>
      <c r="K220" s="2">
        <v>119.17456</v>
      </c>
      <c r="L220" s="2">
        <v>116.50606999999999</v>
      </c>
      <c r="M220" s="2">
        <v>115.53001</v>
      </c>
      <c r="N220" s="2">
        <v>114.80419999999999</v>
      </c>
      <c r="O220" s="2">
        <v>103.11251</v>
      </c>
      <c r="P220" s="2">
        <v>94.004059999999996</v>
      </c>
      <c r="Q220" s="2">
        <v>104.63912999999999</v>
      </c>
      <c r="R220" s="2">
        <v>96.27064</v>
      </c>
    </row>
    <row r="221" spans="1:18">
      <c r="A221" s="3" t="s">
        <v>4</v>
      </c>
      <c r="B221" s="2">
        <f t="shared" ref="B221:R221" si="91">(B215-2074.474)/(46741.65-2074.474)</f>
        <v>0.66861891354872849</v>
      </c>
      <c r="C221" s="2">
        <f t="shared" si="91"/>
        <v>0.66571030262542918</v>
      </c>
      <c r="D221" s="2">
        <f t="shared" si="91"/>
        <v>0.72243649032765822</v>
      </c>
      <c r="E221" s="2">
        <f t="shared" si="91"/>
        <v>0.68094506636799812</v>
      </c>
      <c r="F221" s="2">
        <f t="shared" si="91"/>
        <v>0.62385132041978297</v>
      </c>
      <c r="G221" s="2">
        <f t="shared" si="91"/>
        <v>0.6060034565117175</v>
      </c>
      <c r="H221" s="2">
        <f t="shared" si="91"/>
        <v>0.58549483086974319</v>
      </c>
      <c r="I221" s="2">
        <f t="shared" si="91"/>
        <v>0.79124411344033041</v>
      </c>
      <c r="J221" s="2">
        <f t="shared" si="91"/>
        <v>0.62637110379308725</v>
      </c>
      <c r="K221" s="2">
        <f t="shared" si="91"/>
        <v>0.72551012508634072</v>
      </c>
      <c r="L221" s="2">
        <f t="shared" si="91"/>
        <v>0.51235904048609315</v>
      </c>
      <c r="M221" s="2">
        <f t="shared" si="91"/>
        <v>0.9999999004994532</v>
      </c>
      <c r="N221" s="2">
        <f t="shared" si="91"/>
        <v>0.55538530510158013</v>
      </c>
      <c r="O221" s="2">
        <f t="shared" si="91"/>
        <v>0.66611662524416315</v>
      </c>
      <c r="P221" s="2">
        <f t="shared" si="91"/>
        <v>0.76455296006125328</v>
      </c>
      <c r="Q221" s="2">
        <f t="shared" si="91"/>
        <v>0.68053259847262626</v>
      </c>
      <c r="R221" s="2">
        <f t="shared" si="91"/>
        <v>0.92236045954357382</v>
      </c>
    </row>
    <row r="222" spans="1:18">
      <c r="A222" s="3" t="s">
        <v>5</v>
      </c>
      <c r="B222" s="2">
        <f t="shared" ref="B222:R222" si="92">(B216-5881)/(62911-5881)</f>
        <v>0.7240575135893389</v>
      </c>
      <c r="C222" s="2">
        <f t="shared" si="92"/>
        <v>0.84445028932140975</v>
      </c>
      <c r="D222" s="2">
        <f t="shared" si="92"/>
        <v>0.74162721374715057</v>
      </c>
      <c r="E222" s="2">
        <f t="shared" si="92"/>
        <v>0.71218656847273365</v>
      </c>
      <c r="F222" s="2">
        <f t="shared" si="92"/>
        <v>0.7456601788532351</v>
      </c>
      <c r="G222" s="2">
        <f t="shared" si="92"/>
        <v>0.79242503945291953</v>
      </c>
      <c r="H222" s="2">
        <f t="shared" si="92"/>
        <v>0.71004734350341925</v>
      </c>
      <c r="I222" s="2">
        <f t="shared" si="92"/>
        <v>0.80682097141855169</v>
      </c>
      <c r="J222" s="2">
        <f t="shared" si="92"/>
        <v>0.6459056636857794</v>
      </c>
      <c r="K222" s="2">
        <f t="shared" si="92"/>
        <v>0.68449938628791862</v>
      </c>
      <c r="L222" s="2">
        <f t="shared" si="92"/>
        <v>0.52951078379800109</v>
      </c>
      <c r="M222" s="2">
        <f t="shared" si="92"/>
        <v>0.82204103103629667</v>
      </c>
      <c r="N222" s="2">
        <f t="shared" si="92"/>
        <v>0.58011572856391369</v>
      </c>
      <c r="O222" s="2">
        <f t="shared" si="92"/>
        <v>0.73040504997369804</v>
      </c>
      <c r="P222" s="2">
        <f t="shared" si="92"/>
        <v>0.60417324215325263</v>
      </c>
      <c r="Q222" s="2">
        <f t="shared" si="92"/>
        <v>0.72239172365421711</v>
      </c>
      <c r="R222" s="2">
        <f t="shared" si="92"/>
        <v>1</v>
      </c>
    </row>
    <row r="223" spans="1:18">
      <c r="A223" s="3" t="s">
        <v>6</v>
      </c>
      <c r="B223" s="2">
        <f t="shared" ref="B223:R223" si="93">(B217-11.285)/(45.815-11.285)</f>
        <v>0.44183917659838068</v>
      </c>
      <c r="C223" s="2">
        <f t="shared" si="93"/>
        <v>0.42063703216796805</v>
      </c>
      <c r="D223" s="2">
        <f t="shared" si="93"/>
        <v>0.39821720896906893</v>
      </c>
      <c r="E223" s="2">
        <f t="shared" si="93"/>
        <v>0.40389673057022629</v>
      </c>
      <c r="F223" s="2">
        <f t="shared" si="93"/>
        <v>0.44105946538319935</v>
      </c>
      <c r="G223" s="2">
        <f t="shared" si="93"/>
        <v>0.24141371360285754</v>
      </c>
      <c r="H223" s="2">
        <f t="shared" si="93"/>
        <v>0.30154572589995476</v>
      </c>
      <c r="I223" s="2">
        <f t="shared" si="93"/>
        <v>0.8155243007275913</v>
      </c>
      <c r="J223" s="2">
        <f t="shared" si="93"/>
        <v>0.38158384597005079</v>
      </c>
      <c r="K223" s="2">
        <f t="shared" si="93"/>
        <v>0.43648784555497411</v>
      </c>
      <c r="L223" s="2">
        <f t="shared" si="93"/>
        <v>0.35883955507675974</v>
      </c>
      <c r="M223" s="2">
        <f t="shared" si="93"/>
        <v>0.64939078729972433</v>
      </c>
      <c r="N223" s="2">
        <f t="shared" si="93"/>
        <v>0.37717183422262884</v>
      </c>
      <c r="O223" s="2">
        <f t="shared" si="93"/>
        <v>0.40212512107732112</v>
      </c>
      <c r="P223" s="2">
        <f t="shared" si="93"/>
        <v>0.4785830418759538</v>
      </c>
      <c r="Q223" s="2">
        <f t="shared" si="93"/>
        <v>8.9535930698106794E-2</v>
      </c>
      <c r="R223" s="2">
        <f t="shared" si="93"/>
        <v>8.1844930794673074E-2</v>
      </c>
    </row>
    <row r="224" spans="1:18">
      <c r="A224" s="3" t="s">
        <v>3</v>
      </c>
      <c r="B224" s="2">
        <f>(B218-24.463)/(210.374-24.463)</f>
        <v>0.40195091681618345</v>
      </c>
      <c r="C224" s="2">
        <f t="shared" ref="C224:R224" si="94">(C218-24.463)/(210.374-24.463)</f>
        <v>0.65890060939013406</v>
      </c>
      <c r="D224" s="2">
        <f t="shared" si="94"/>
        <v>0.25854839447244182</v>
      </c>
      <c r="E224" s="2">
        <f t="shared" si="94"/>
        <v>0.32973355234236751</v>
      </c>
      <c r="F224" s="2">
        <f t="shared" si="94"/>
        <v>0.26215687015893002</v>
      </c>
      <c r="G224" s="2">
        <f t="shared" si="94"/>
        <v>0.14748917518982466</v>
      </c>
      <c r="H224" s="2">
        <f t="shared" si="94"/>
        <v>0.13562727713827172</v>
      </c>
      <c r="I224" s="2">
        <f t="shared" si="94"/>
        <v>0.68325695783448581</v>
      </c>
      <c r="J224" s="2">
        <f t="shared" si="94"/>
        <v>2.0073674926816026E-6</v>
      </c>
      <c r="K224" s="2">
        <f t="shared" si="94"/>
        <v>0.54299782761260829</v>
      </c>
      <c r="L224" s="2">
        <f t="shared" si="94"/>
        <v>0.17980526285167647</v>
      </c>
      <c r="M224" s="2">
        <f t="shared" si="94"/>
        <v>0.2460051255198144</v>
      </c>
      <c r="N224" s="2">
        <f t="shared" si="94"/>
        <v>0.16891651962901288</v>
      </c>
      <c r="O224" s="2">
        <f t="shared" si="94"/>
        <v>0.31880722403082867</v>
      </c>
      <c r="P224" s="2">
        <f t="shared" si="94"/>
        <v>0.31655770953866164</v>
      </c>
      <c r="Q224" s="2">
        <f t="shared" si="94"/>
        <v>0.15780670284540269</v>
      </c>
      <c r="R224" s="2">
        <f t="shared" si="94"/>
        <v>4.2402980046736156E-3</v>
      </c>
    </row>
    <row r="225" spans="1:18">
      <c r="A225" s="3" t="s">
        <v>7</v>
      </c>
      <c r="B225" s="2">
        <f>(B219-63.019)/(82.03-63.019)</f>
        <v>0.85011245094303589</v>
      </c>
      <c r="C225" s="2">
        <f t="shared" ref="C225:R225" si="95">(C219-63.019)/(82.03-63.019)</f>
        <v>0.83420381781535957</v>
      </c>
      <c r="D225" s="2">
        <f t="shared" si="95"/>
        <v>0.90066084975194072</v>
      </c>
      <c r="E225" s="2">
        <f t="shared" si="95"/>
        <v>0.76133201445632925</v>
      </c>
      <c r="F225" s="2">
        <f t="shared" si="95"/>
        <v>0.8256080241092778</v>
      </c>
      <c r="G225" s="2">
        <f t="shared" si="95"/>
        <v>0.9018155086079821</v>
      </c>
      <c r="H225" s="2">
        <f t="shared" si="95"/>
        <v>0.93158004800814953</v>
      </c>
      <c r="I225" s="2">
        <f t="shared" si="95"/>
        <v>0.79846071144946984</v>
      </c>
      <c r="J225" s="2">
        <f t="shared" si="95"/>
        <v>1.0000128295428456</v>
      </c>
      <c r="K225" s="2">
        <f t="shared" si="95"/>
        <v>0.8456221109473212</v>
      </c>
      <c r="L225" s="2">
        <f t="shared" si="95"/>
        <v>0.86948506063883413</v>
      </c>
      <c r="M225" s="2">
        <f t="shared" si="95"/>
        <v>0.88488051205271478</v>
      </c>
      <c r="N225" s="2">
        <f t="shared" si="95"/>
        <v>0.88642005719410288</v>
      </c>
      <c r="O225" s="2">
        <f t="shared" si="95"/>
        <v>0.91939198230549535</v>
      </c>
      <c r="P225" s="2">
        <f t="shared" si="95"/>
        <v>0.95043947599015299</v>
      </c>
      <c r="Q225" s="2">
        <f t="shared" si="95"/>
        <v>0.82727586467911407</v>
      </c>
      <c r="R225" s="2">
        <f t="shared" si="95"/>
        <v>0.75324940246404293</v>
      </c>
    </row>
    <row r="226" spans="1:18">
      <c r="A226" s="4" t="s">
        <v>8</v>
      </c>
      <c r="B226" s="2">
        <f>(B220-51.388)/(123.4-51.388)</f>
        <v>0.66129256235071932</v>
      </c>
      <c r="C226" s="2">
        <f t="shared" ref="C226:R226" si="96">(C220-51.388)/(123.4-51.388)</f>
        <v>0.82316002888407502</v>
      </c>
      <c r="D226" s="2">
        <f t="shared" si="96"/>
        <v>0.77238961718814925</v>
      </c>
      <c r="E226" s="2">
        <f t="shared" si="96"/>
        <v>1.0000054157640395</v>
      </c>
      <c r="F226" s="2">
        <f t="shared" si="96"/>
        <v>0.8275179136810531</v>
      </c>
      <c r="G226" s="2">
        <f t="shared" si="96"/>
        <v>0.78843845470199414</v>
      </c>
      <c r="H226" s="2">
        <f t="shared" si="96"/>
        <v>0.65979253457757048</v>
      </c>
      <c r="I226" s="2">
        <f t="shared" si="96"/>
        <v>0.80301269232905637</v>
      </c>
      <c r="J226" s="2">
        <f t="shared" si="96"/>
        <v>0.69787993667722059</v>
      </c>
      <c r="K226" s="2">
        <f t="shared" si="96"/>
        <v>0.94132311281453107</v>
      </c>
      <c r="L226" s="2">
        <f t="shared" si="96"/>
        <v>0.90426692773426631</v>
      </c>
      <c r="M226" s="2">
        <f t="shared" si="96"/>
        <v>0.89071279786702218</v>
      </c>
      <c r="N226" s="2">
        <f t="shared" si="96"/>
        <v>0.88063378325834574</v>
      </c>
      <c r="O226" s="2">
        <f t="shared" si="96"/>
        <v>0.71827625951230356</v>
      </c>
      <c r="P226" s="2">
        <f t="shared" si="96"/>
        <v>0.59179109037382649</v>
      </c>
      <c r="Q226" s="2">
        <f t="shared" si="96"/>
        <v>0.73947578181414209</v>
      </c>
      <c r="R226" s="2">
        <f t="shared" si="96"/>
        <v>0.62326612231294787</v>
      </c>
    </row>
    <row r="227" spans="1:18">
      <c r="A227" s="4" t="s">
        <v>54</v>
      </c>
      <c r="B227" s="2">
        <f>(B221+B222+B223+B224+B225+B226)/6</f>
        <v>0.62464525564106443</v>
      </c>
      <c r="C227" s="2">
        <f t="shared" ref="C227:R227" si="97">(C221+C222+C223+C224+C225+C226)/6</f>
        <v>0.70784368003406251</v>
      </c>
      <c r="D227" s="2">
        <f t="shared" si="97"/>
        <v>0.63231329574273498</v>
      </c>
      <c r="E227" s="2">
        <f t="shared" si="97"/>
        <v>0.64801655799561575</v>
      </c>
      <c r="F227" s="2">
        <f t="shared" si="97"/>
        <v>0.62097562876757972</v>
      </c>
      <c r="G227" s="2">
        <f t="shared" si="97"/>
        <v>0.57959755801121593</v>
      </c>
      <c r="H227" s="2">
        <f t="shared" si="97"/>
        <v>0.55401462666618484</v>
      </c>
      <c r="I227" s="2">
        <f t="shared" si="97"/>
        <v>0.78305329119991429</v>
      </c>
      <c r="J227" s="2">
        <f t="shared" si="97"/>
        <v>0.55862589783941274</v>
      </c>
      <c r="K227" s="2">
        <f t="shared" si="97"/>
        <v>0.69607340138394902</v>
      </c>
      <c r="L227" s="2">
        <f t="shared" si="97"/>
        <v>0.55904443843093843</v>
      </c>
      <c r="M227" s="2">
        <f t="shared" si="97"/>
        <v>0.74883835904583762</v>
      </c>
      <c r="N227" s="2">
        <f t="shared" si="97"/>
        <v>0.57477387132826407</v>
      </c>
      <c r="O227" s="2">
        <f t="shared" si="97"/>
        <v>0.62585371035730164</v>
      </c>
      <c r="P227" s="2">
        <f t="shared" si="97"/>
        <v>0.61768291999885017</v>
      </c>
      <c r="Q227" s="2">
        <f t="shared" si="97"/>
        <v>0.53616976702726815</v>
      </c>
      <c r="R227" s="2">
        <f t="shared" si="97"/>
        <v>0.56416020218665186</v>
      </c>
    </row>
    <row r="229" spans="1:18">
      <c r="A229" s="1" t="s">
        <v>9</v>
      </c>
      <c r="B229" s="2" t="s">
        <v>10</v>
      </c>
      <c r="C229" s="2" t="s">
        <v>11</v>
      </c>
      <c r="D229" s="2" t="s">
        <v>12</v>
      </c>
      <c r="E229" s="2" t="s">
        <v>13</v>
      </c>
      <c r="F229" s="2" t="s">
        <v>14</v>
      </c>
      <c r="G229" s="2" t="s">
        <v>15</v>
      </c>
      <c r="H229" s="2" t="s">
        <v>16</v>
      </c>
      <c r="I229" s="2" t="s">
        <v>17</v>
      </c>
      <c r="J229" s="2" t="s">
        <v>18</v>
      </c>
      <c r="K229" s="2" t="s">
        <v>19</v>
      </c>
      <c r="L229" s="2" t="s">
        <v>20</v>
      </c>
      <c r="M229" s="2" t="s">
        <v>21</v>
      </c>
      <c r="N229" s="2" t="s">
        <v>22</v>
      </c>
      <c r="O229" s="2" t="s">
        <v>23</v>
      </c>
      <c r="P229" s="2" t="s">
        <v>24</v>
      </c>
      <c r="Q229" s="2" t="s">
        <v>25</v>
      </c>
      <c r="R229" s="2" t="s">
        <v>26</v>
      </c>
    </row>
    <row r="230" spans="1:18">
      <c r="B230" s="2">
        <v>2003</v>
      </c>
      <c r="C230" s="2">
        <v>2003</v>
      </c>
      <c r="D230" s="2">
        <v>2003</v>
      </c>
      <c r="E230" s="2">
        <v>2003</v>
      </c>
      <c r="F230" s="2">
        <v>2003</v>
      </c>
      <c r="G230" s="2">
        <v>2003</v>
      </c>
      <c r="H230" s="2">
        <v>2003</v>
      </c>
      <c r="I230" s="2">
        <v>2003</v>
      </c>
      <c r="J230" s="2">
        <v>2003</v>
      </c>
      <c r="K230" s="2">
        <v>2003</v>
      </c>
      <c r="L230" s="2">
        <v>2003</v>
      </c>
      <c r="M230" s="2">
        <v>2003</v>
      </c>
      <c r="N230" s="2">
        <v>2003</v>
      </c>
      <c r="O230" s="2">
        <v>2003</v>
      </c>
      <c r="P230" s="2">
        <v>2003</v>
      </c>
      <c r="Q230" s="2">
        <v>2003</v>
      </c>
      <c r="R230" s="2">
        <v>2003</v>
      </c>
    </row>
    <row r="231" spans="1:18">
      <c r="A231" s="1" t="s">
        <v>0</v>
      </c>
      <c r="B231" s="3">
        <v>9271.2042377157431</v>
      </c>
      <c r="C231" s="3">
        <v>8548.0565935624963</v>
      </c>
      <c r="D231" s="3">
        <v>11655.366854977727</v>
      </c>
      <c r="E231" s="3">
        <v>3397.6284366118884</v>
      </c>
      <c r="F231" s="3">
        <v>6807.8354066314823</v>
      </c>
      <c r="G231" s="3">
        <v>8461.5431814639542</v>
      </c>
      <c r="H231" s="3">
        <v>1951.7735671259375</v>
      </c>
      <c r="I231" s="3">
        <v>2911.9176478839545</v>
      </c>
      <c r="J231" s="3">
        <v>11197.767666943691</v>
      </c>
      <c r="K231" s="3">
        <v>11459.867344976105</v>
      </c>
      <c r="L231" s="3">
        <v>5797.4783423377376</v>
      </c>
      <c r="M231" s="3">
        <v>2826.1242133092355</v>
      </c>
      <c r="N231" s="3">
        <v>6205.8982936746461</v>
      </c>
      <c r="O231" s="3">
        <v>6632.5902094578823</v>
      </c>
      <c r="P231" s="3">
        <v>9994.0939972687593</v>
      </c>
      <c r="Q231" s="3">
        <v>8530.3689392521756</v>
      </c>
      <c r="R231" s="3">
        <v>7835.3505276824008</v>
      </c>
    </row>
    <row r="232" spans="1:18">
      <c r="A232" s="1" t="s">
        <v>1</v>
      </c>
      <c r="B232" s="2">
        <v>23223</v>
      </c>
      <c r="C232" s="2">
        <v>14861</v>
      </c>
      <c r="D232" s="2">
        <v>28757</v>
      </c>
      <c r="E232" s="2">
        <v>6517</v>
      </c>
      <c r="F232" s="2">
        <v>14497</v>
      </c>
      <c r="G232" s="2">
        <v>16084</v>
      </c>
      <c r="H232" s="2">
        <v>5606</v>
      </c>
      <c r="I232" s="2">
        <v>8335</v>
      </c>
      <c r="J232" s="2">
        <v>20263</v>
      </c>
      <c r="K232" s="2">
        <v>18931</v>
      </c>
      <c r="L232" s="2">
        <v>12643</v>
      </c>
      <c r="M232" s="2">
        <v>6953</v>
      </c>
      <c r="N232" s="2">
        <v>13472</v>
      </c>
      <c r="O232" s="2">
        <v>14277</v>
      </c>
      <c r="P232" s="2">
        <v>21313</v>
      </c>
      <c r="Q232" s="2">
        <v>23039</v>
      </c>
      <c r="R232" s="2">
        <v>20003</v>
      </c>
    </row>
    <row r="233" spans="1:18">
      <c r="A233" s="1" t="s">
        <v>2</v>
      </c>
      <c r="B233" s="2">
        <v>25.907101413434614</v>
      </c>
      <c r="C233" s="2">
        <v>10.824835424127567</v>
      </c>
      <c r="D233" s="2">
        <v>24.850595291520047</v>
      </c>
      <c r="E233" s="2">
        <v>43.401615378296107</v>
      </c>
      <c r="F233" s="2">
        <v>15.316234922616534</v>
      </c>
      <c r="G233" s="2">
        <v>18.777219981921697</v>
      </c>
      <c r="H233" s="2">
        <v>24.620026212376118</v>
      </c>
      <c r="I233" s="2">
        <v>32.937316345695898</v>
      </c>
      <c r="J233" s="2">
        <v>42.455148303718758</v>
      </c>
      <c r="K233" s="2">
        <v>21.429940764068409</v>
      </c>
      <c r="L233" s="2">
        <v>18.725324835504523</v>
      </c>
      <c r="M233" s="2">
        <v>15.445265898936785</v>
      </c>
      <c r="N233" s="2">
        <v>31.750073385655007</v>
      </c>
      <c r="O233" s="2">
        <v>19.900037598980045</v>
      </c>
      <c r="P233" s="2">
        <v>16.553315430241287</v>
      </c>
      <c r="Q233" s="2">
        <v>18.311949524190368</v>
      </c>
      <c r="R233" s="2">
        <v>32.347213710885129</v>
      </c>
    </row>
    <row r="234" spans="1:18">
      <c r="A234" s="1" t="s">
        <v>3</v>
      </c>
      <c r="B234" s="2">
        <v>39.172801179374581</v>
      </c>
      <c r="C234" s="2">
        <v>107.38462655413376</v>
      </c>
      <c r="D234" s="2">
        <v>65.122375654438557</v>
      </c>
      <c r="E234" s="2">
        <v>56.913524901421965</v>
      </c>
      <c r="F234" s="2">
        <v>36.516183517229983</v>
      </c>
      <c r="G234" s="2">
        <v>95.20438376773059</v>
      </c>
      <c r="H234" s="2">
        <v>30.103346922875996</v>
      </c>
      <c r="I234" s="2">
        <v>53.616494017782102</v>
      </c>
      <c r="J234" s="2">
        <v>194.19512905683087</v>
      </c>
      <c r="K234" s="2">
        <v>52.171215433436757</v>
      </c>
      <c r="L234" s="2">
        <v>35.522336433998227</v>
      </c>
      <c r="M234" s="2">
        <v>101.849333440024</v>
      </c>
      <c r="N234" s="2">
        <v>124.57965693875099</v>
      </c>
      <c r="O234" s="2">
        <v>82.390107793166038</v>
      </c>
      <c r="P234" s="2">
        <v>47.032718029462202</v>
      </c>
      <c r="Q234" s="2">
        <v>51.759199560960013</v>
      </c>
      <c r="R234" s="2">
        <v>50.577007378194061</v>
      </c>
    </row>
    <row r="235" spans="1:18">
      <c r="A235" s="6" t="s">
        <v>27</v>
      </c>
      <c r="B235" s="5">
        <v>74.344292682926834</v>
      </c>
      <c r="C235" s="5">
        <v>72.065853658536597</v>
      </c>
      <c r="D235" s="5">
        <v>77.851170731707327</v>
      </c>
      <c r="E235" s="5">
        <v>71.764878048780488</v>
      </c>
      <c r="F235" s="5">
        <v>71.788219512195127</v>
      </c>
      <c r="G235" s="5">
        <v>78.285585365853677</v>
      </c>
      <c r="H235" s="5">
        <v>62.670951219512197</v>
      </c>
      <c r="I235" s="5">
        <v>66.516536585365856</v>
      </c>
      <c r="J235" s="5">
        <v>72.657902439024397</v>
      </c>
      <c r="K235" s="5">
        <v>75.004731707317077</v>
      </c>
      <c r="L235" s="5">
        <v>71.759390243902445</v>
      </c>
      <c r="M235" s="5">
        <v>67.189365853658543</v>
      </c>
      <c r="N235" s="5">
        <v>72.915463414634146</v>
      </c>
      <c r="O235" s="5">
        <v>73.051219512195132</v>
      </c>
      <c r="P235" s="5">
        <v>71.168317073170755</v>
      </c>
      <c r="Q235" s="5">
        <v>74.876829268292695</v>
      </c>
      <c r="R235" s="5">
        <v>72.782926829268305</v>
      </c>
    </row>
    <row r="236" spans="1:18">
      <c r="A236" s="6" t="s">
        <v>48</v>
      </c>
      <c r="B236" s="5">
        <v>86.349090000000004</v>
      </c>
      <c r="C236" s="5">
        <v>86.729569999999995</v>
      </c>
      <c r="D236" s="5">
        <v>88.171539999999993</v>
      </c>
      <c r="E236" s="5">
        <v>66.823570000000004</v>
      </c>
      <c r="F236" s="5">
        <v>77.581666527198493</v>
      </c>
      <c r="G236" s="5">
        <v>70.058210000000003</v>
      </c>
      <c r="H236" s="5">
        <v>49.768920000000001</v>
      </c>
      <c r="I236" s="5">
        <v>59.517670000000003</v>
      </c>
      <c r="J236" s="5">
        <v>72.414869999999993</v>
      </c>
      <c r="K236" s="5">
        <v>80.469449999999995</v>
      </c>
      <c r="L236" s="5">
        <v>82.394210000000001</v>
      </c>
      <c r="M236" s="5">
        <v>81.855220000000003</v>
      </c>
      <c r="N236" s="5">
        <v>64.009559999999993</v>
      </c>
      <c r="O236" s="5">
        <v>78.08954</v>
      </c>
      <c r="P236" s="5">
        <v>88.741590000000002</v>
      </c>
      <c r="Q236" s="5">
        <v>109.27278</v>
      </c>
      <c r="R236" s="5">
        <v>69.102379999999997</v>
      </c>
    </row>
    <row r="237" spans="1:18">
      <c r="A237" s="3" t="s">
        <v>4</v>
      </c>
      <c r="B237" s="2">
        <f>(B231-1951.774)/(45227.21-1951.774)</f>
        <v>0.16913590975064338</v>
      </c>
      <c r="C237" s="2">
        <f t="shared" ref="C237:R237" si="98">(C231-1951.774)/(45227.21-1951.774)</f>
        <v>0.15242556062433424</v>
      </c>
      <c r="D237" s="2">
        <f t="shared" si="98"/>
        <v>0.22422865606663619</v>
      </c>
      <c r="E237" s="2">
        <f t="shared" si="98"/>
        <v>3.3410511141052132E-2</v>
      </c>
      <c r="F237" s="2">
        <f t="shared" si="98"/>
        <v>0.11221288230652333</v>
      </c>
      <c r="G237" s="2">
        <f t="shared" si="98"/>
        <v>0.15042642624014127</v>
      </c>
      <c r="H237" s="2">
        <f t="shared" si="98"/>
        <v>-1.0002766059387149E-8</v>
      </c>
      <c r="I237" s="2">
        <f t="shared" si="98"/>
        <v>2.2186804724138528E-2</v>
      </c>
      <c r="J237" s="2">
        <f t="shared" si="98"/>
        <v>0.21365454681828489</v>
      </c>
      <c r="K237" s="2">
        <f t="shared" si="98"/>
        <v>0.21971109303153191</v>
      </c>
      <c r="L237" s="2">
        <f t="shared" si="98"/>
        <v>8.8865756137910146E-2</v>
      </c>
      <c r="M237" s="2">
        <f t="shared" si="98"/>
        <v>2.02043074345741E-2</v>
      </c>
      <c r="N237" s="2">
        <f t="shared" si="98"/>
        <v>9.830344155688335E-2</v>
      </c>
      <c r="O237" s="2">
        <f t="shared" si="98"/>
        <v>0.10816335182522209</v>
      </c>
      <c r="P237" s="2">
        <f t="shared" si="98"/>
        <v>0.18584029973190241</v>
      </c>
      <c r="Q237" s="2">
        <f t="shared" si="98"/>
        <v>0.15201683789510928</v>
      </c>
      <c r="R237" s="2">
        <f t="shared" si="98"/>
        <v>0.1359564933714914</v>
      </c>
    </row>
    <row r="238" spans="1:18">
      <c r="A238" s="3" t="s">
        <v>5</v>
      </c>
      <c r="B238" s="2">
        <f>(B232-5606)/(61460-5606)</f>
        <v>0.31541160883732589</v>
      </c>
      <c r="C238" s="2">
        <f t="shared" ref="C238:R238" si="99">(C232-5606)/(61460-5606)</f>
        <v>0.16569986035019874</v>
      </c>
      <c r="D238" s="2">
        <f t="shared" si="99"/>
        <v>0.41449135245461383</v>
      </c>
      <c r="E238" s="2">
        <f t="shared" si="99"/>
        <v>1.6310380635227557E-2</v>
      </c>
      <c r="F238" s="2">
        <f t="shared" si="99"/>
        <v>0.15918286962437783</v>
      </c>
      <c r="G238" s="2">
        <f t="shared" si="99"/>
        <v>0.18759623303612991</v>
      </c>
      <c r="H238" s="2">
        <f t="shared" si="99"/>
        <v>0</v>
      </c>
      <c r="I238" s="2">
        <f t="shared" si="99"/>
        <v>4.8859526622981347E-2</v>
      </c>
      <c r="J238" s="2">
        <f t="shared" si="99"/>
        <v>0.26241629963834284</v>
      </c>
      <c r="K238" s="2">
        <f t="shared" si="99"/>
        <v>0.23856841049880045</v>
      </c>
      <c r="L238" s="2">
        <f t="shared" si="99"/>
        <v>0.12598918609231211</v>
      </c>
      <c r="M238" s="2">
        <f t="shared" si="99"/>
        <v>2.4116446449672362E-2</v>
      </c>
      <c r="N238" s="2">
        <f t="shared" si="99"/>
        <v>0.14083145343216241</v>
      </c>
      <c r="O238" s="2">
        <f t="shared" si="99"/>
        <v>0.15524402907580478</v>
      </c>
      <c r="P238" s="2">
        <f t="shared" si="99"/>
        <v>0.28121531134744154</v>
      </c>
      <c r="Q238" s="2">
        <f t="shared" si="99"/>
        <v>0.3121173058330648</v>
      </c>
      <c r="R238" s="2">
        <f t="shared" si="99"/>
        <v>0.25776130626275645</v>
      </c>
    </row>
    <row r="239" spans="1:18">
      <c r="A239" s="3" t="s">
        <v>6</v>
      </c>
      <c r="B239" s="2">
        <f>(B233-10.825)/(43.402-10.825)</f>
        <v>0.46296778136214556</v>
      </c>
      <c r="C239" s="2">
        <f t="shared" ref="C239:R239" si="100">(C233-10.825)/(43.402-10.825)</f>
        <v>-5.0519038718186972E-6</v>
      </c>
      <c r="D239" s="2">
        <f t="shared" si="100"/>
        <v>0.4305367373152853</v>
      </c>
      <c r="E239" s="2">
        <f t="shared" si="100"/>
        <v>0.9999881934584558</v>
      </c>
      <c r="F239" s="2">
        <f t="shared" si="100"/>
        <v>0.13786520927699097</v>
      </c>
      <c r="G239" s="2">
        <f t="shared" si="100"/>
        <v>0.24410534984564869</v>
      </c>
      <c r="H239" s="2">
        <f t="shared" si="100"/>
        <v>0.42345907273156275</v>
      </c>
      <c r="I239" s="2">
        <f t="shared" si="100"/>
        <v>0.67877079981876476</v>
      </c>
      <c r="J239" s="2">
        <f t="shared" si="100"/>
        <v>0.97093496343183106</v>
      </c>
      <c r="K239" s="2">
        <f t="shared" si="100"/>
        <v>0.32553460306561099</v>
      </c>
      <c r="L239" s="2">
        <f t="shared" si="100"/>
        <v>0.24251235029329049</v>
      </c>
      <c r="M239" s="2">
        <f t="shared" si="100"/>
        <v>0.14182600911492116</v>
      </c>
      <c r="N239" s="2">
        <f t="shared" si="100"/>
        <v>0.64232659194078667</v>
      </c>
      <c r="O239" s="2">
        <f t="shared" si="100"/>
        <v>0.27857192494643601</v>
      </c>
      <c r="P239" s="2">
        <f t="shared" si="100"/>
        <v>0.17583925561719277</v>
      </c>
      <c r="Q239" s="2">
        <f t="shared" si="100"/>
        <v>0.22982317353317891</v>
      </c>
      <c r="R239" s="2">
        <f t="shared" si="100"/>
        <v>0.66065671212466248</v>
      </c>
    </row>
    <row r="240" spans="1:18">
      <c r="A240" s="3" t="s">
        <v>3</v>
      </c>
      <c r="B240" s="2">
        <f t="shared" ref="B240:R240" si="101">(B234-22.09)/(194.195-22.09)</f>
        <v>9.9258017950521957E-2</v>
      </c>
      <c r="C240" s="2">
        <f t="shared" si="101"/>
        <v>0.49559644725100238</v>
      </c>
      <c r="D240" s="2">
        <f t="shared" si="101"/>
        <v>0.25003559254198632</v>
      </c>
      <c r="E240" s="2">
        <f t="shared" si="101"/>
        <v>0.20233883327864946</v>
      </c>
      <c r="F240" s="2">
        <f t="shared" si="101"/>
        <v>8.3821989583277565E-2</v>
      </c>
      <c r="G240" s="2">
        <f t="shared" si="101"/>
        <v>0.42482428614933088</v>
      </c>
      <c r="H240" s="2">
        <f t="shared" si="101"/>
        <v>4.6560802550047915E-2</v>
      </c>
      <c r="I240" s="2">
        <f t="shared" si="101"/>
        <v>0.18318174380629329</v>
      </c>
      <c r="J240" s="2">
        <f t="shared" si="101"/>
        <v>1.0000007498726409</v>
      </c>
      <c r="K240" s="2">
        <f t="shared" si="101"/>
        <v>0.17478408781521024</v>
      </c>
      <c r="L240" s="2">
        <f t="shared" si="101"/>
        <v>7.8047334092549478E-2</v>
      </c>
      <c r="M240" s="2">
        <f t="shared" si="101"/>
        <v>0.46343414450494758</v>
      </c>
      <c r="N240" s="2">
        <f t="shared" si="101"/>
        <v>0.59550656249819001</v>
      </c>
      <c r="O240" s="2">
        <f t="shared" si="101"/>
        <v>0.35036813452930499</v>
      </c>
      <c r="P240" s="2">
        <f t="shared" si="101"/>
        <v>0.14492732941786818</v>
      </c>
      <c r="Q240" s="2">
        <f t="shared" si="101"/>
        <v>0.1723901081372419</v>
      </c>
      <c r="R240" s="2">
        <f t="shared" si="101"/>
        <v>0.16552109106762769</v>
      </c>
    </row>
    <row r="241" spans="1:18">
      <c r="A241" s="3" t="s">
        <v>7</v>
      </c>
      <c r="B241" s="2">
        <f>(B235-62.671)/(81.76-62.671)</f>
        <v>0.61151934008731901</v>
      </c>
      <c r="C241" s="2">
        <f t="shared" ref="C241:R241" si="102">(C235-62.671)/(81.76-62.671)</f>
        <v>0.492160598173639</v>
      </c>
      <c r="D241" s="2">
        <f t="shared" si="102"/>
        <v>0.79523132336462488</v>
      </c>
      <c r="E241" s="2">
        <f t="shared" si="102"/>
        <v>0.47639363239459825</v>
      </c>
      <c r="F241" s="2">
        <f t="shared" si="102"/>
        <v>0.47761640275525824</v>
      </c>
      <c r="G241" s="2">
        <f t="shared" si="102"/>
        <v>0.81798865136223342</v>
      </c>
      <c r="H241" s="2">
        <f t="shared" si="102"/>
        <v>-2.5554239510708521E-6</v>
      </c>
      <c r="I241" s="2">
        <f t="shared" si="102"/>
        <v>0.20145301405866495</v>
      </c>
      <c r="J241" s="2">
        <f t="shared" si="102"/>
        <v>0.52317577866962095</v>
      </c>
      <c r="K241" s="2">
        <f t="shared" si="102"/>
        <v>0.64611722496291446</v>
      </c>
      <c r="L241" s="2">
        <f t="shared" si="102"/>
        <v>0.47610614720008604</v>
      </c>
      <c r="M241" s="2">
        <f t="shared" si="102"/>
        <v>0.23669997661787118</v>
      </c>
      <c r="N241" s="2">
        <f t="shared" si="102"/>
        <v>0.53666841713207314</v>
      </c>
      <c r="O241" s="2">
        <f t="shared" si="102"/>
        <v>0.54378016198832468</v>
      </c>
      <c r="P241" s="2">
        <f t="shared" si="102"/>
        <v>0.4451420751831292</v>
      </c>
      <c r="Q241" s="2">
        <f t="shared" si="102"/>
        <v>0.63941690336281065</v>
      </c>
      <c r="R241" s="2">
        <f t="shared" si="102"/>
        <v>0.5297253302566034</v>
      </c>
    </row>
    <row r="242" spans="1:18">
      <c r="A242" s="4" t="s">
        <v>8</v>
      </c>
      <c r="B242" s="2">
        <f t="shared" ref="B242:R242" si="103">(B236-49.769)/(162.349-49.769)</f>
        <v>0.32492529756617528</v>
      </c>
      <c r="C242" s="2">
        <f t="shared" si="103"/>
        <v>0.32830493871025052</v>
      </c>
      <c r="D242" s="2">
        <f t="shared" si="103"/>
        <v>0.34111334162373425</v>
      </c>
      <c r="E242" s="2">
        <f t="shared" si="103"/>
        <v>0.15148845265588923</v>
      </c>
      <c r="F242" s="2">
        <f t="shared" si="103"/>
        <v>0.24704802386923519</v>
      </c>
      <c r="G242" s="2">
        <f t="shared" si="103"/>
        <v>0.18022037662106952</v>
      </c>
      <c r="H242" s="2">
        <f t="shared" si="103"/>
        <v>-7.1060579141029838E-7</v>
      </c>
      <c r="I242" s="2">
        <f t="shared" si="103"/>
        <v>8.6593267010126179E-2</v>
      </c>
      <c r="J242" s="2">
        <f t="shared" si="103"/>
        <v>0.20115357967667435</v>
      </c>
      <c r="K242" s="2">
        <f t="shared" si="103"/>
        <v>0.27269896962160245</v>
      </c>
      <c r="L242" s="2">
        <f t="shared" si="103"/>
        <v>0.28979578966068581</v>
      </c>
      <c r="M242" s="2">
        <f t="shared" si="103"/>
        <v>0.28500817196660161</v>
      </c>
      <c r="N242" s="2">
        <f t="shared" si="103"/>
        <v>0.12649280511636168</v>
      </c>
      <c r="O242" s="2">
        <f t="shared" si="103"/>
        <v>0.25155924675786112</v>
      </c>
      <c r="P242" s="2">
        <f t="shared" si="103"/>
        <v>0.34617685201634402</v>
      </c>
      <c r="Q242" s="2">
        <f t="shared" si="103"/>
        <v>0.52854663350506315</v>
      </c>
      <c r="R242" s="2">
        <f t="shared" si="103"/>
        <v>0.17173014745070173</v>
      </c>
    </row>
    <row r="243" spans="1:18">
      <c r="A243" s="3" t="s">
        <v>55</v>
      </c>
      <c r="B243" s="2">
        <f t="shared" ref="B243:R243" si="104">(B237+B238+B239+B240+B241+B242)/6</f>
        <v>0.33053632592568855</v>
      </c>
      <c r="C243" s="2">
        <f t="shared" si="104"/>
        <v>0.27236372553425886</v>
      </c>
      <c r="D243" s="2">
        <f t="shared" si="104"/>
        <v>0.40927283389448016</v>
      </c>
      <c r="E243" s="2">
        <f t="shared" si="104"/>
        <v>0.31332166726064542</v>
      </c>
      <c r="F243" s="2">
        <f t="shared" si="104"/>
        <v>0.20295789623594385</v>
      </c>
      <c r="G243" s="2">
        <f t="shared" si="104"/>
        <v>0.33419355387575894</v>
      </c>
      <c r="H243" s="2">
        <f t="shared" si="104"/>
        <v>7.8336099874850351E-2</v>
      </c>
      <c r="I243" s="2">
        <f t="shared" si="104"/>
        <v>0.20350752600682817</v>
      </c>
      <c r="J243" s="2">
        <f t="shared" si="104"/>
        <v>0.52855598635123247</v>
      </c>
      <c r="K243" s="2">
        <f t="shared" si="104"/>
        <v>0.31290239816594506</v>
      </c>
      <c r="L243" s="2">
        <f t="shared" si="104"/>
        <v>0.21688609391280567</v>
      </c>
      <c r="M243" s="2">
        <f t="shared" si="104"/>
        <v>0.19521484268143133</v>
      </c>
      <c r="N243" s="2">
        <f t="shared" si="104"/>
        <v>0.35668821194607619</v>
      </c>
      <c r="O243" s="2">
        <f t="shared" si="104"/>
        <v>0.28128114152049227</v>
      </c>
      <c r="P243" s="2">
        <f t="shared" si="104"/>
        <v>0.26319018721897969</v>
      </c>
      <c r="Q243" s="2">
        <f t="shared" si="104"/>
        <v>0.33905182704441145</v>
      </c>
      <c r="R243" s="2">
        <f t="shared" si="104"/>
        <v>0.32022518008897388</v>
      </c>
    </row>
    <row r="245" spans="1:18">
      <c r="A245" s="1" t="s">
        <v>9</v>
      </c>
      <c r="B245" s="2" t="s">
        <v>28</v>
      </c>
      <c r="C245" s="2" t="s">
        <v>29</v>
      </c>
      <c r="D245" s="2" t="s">
        <v>30</v>
      </c>
      <c r="E245" s="2" t="s">
        <v>31</v>
      </c>
      <c r="F245" s="2" t="s">
        <v>32</v>
      </c>
      <c r="G245" s="2" t="s">
        <v>33</v>
      </c>
      <c r="H245" s="2" t="s">
        <v>34</v>
      </c>
      <c r="I245" s="2" t="s">
        <v>35</v>
      </c>
      <c r="J245" s="2" t="s">
        <v>36</v>
      </c>
      <c r="K245" s="2" t="s">
        <v>37</v>
      </c>
      <c r="L245" s="2" t="s">
        <v>38</v>
      </c>
      <c r="M245" s="2" t="s">
        <v>39</v>
      </c>
      <c r="N245" s="2" t="s">
        <v>40</v>
      </c>
      <c r="O245" s="2" t="s">
        <v>41</v>
      </c>
      <c r="P245" s="2" t="s">
        <v>42</v>
      </c>
      <c r="Q245" s="2" t="s">
        <v>43</v>
      </c>
      <c r="R245" s="2" t="s">
        <v>44</v>
      </c>
    </row>
    <row r="246" spans="1:18">
      <c r="B246" s="2">
        <v>2003</v>
      </c>
      <c r="C246" s="2">
        <v>2003</v>
      </c>
      <c r="D246" s="2">
        <v>2003</v>
      </c>
      <c r="E246" s="2">
        <v>2003</v>
      </c>
      <c r="F246" s="2">
        <v>2003</v>
      </c>
      <c r="G246" s="2">
        <v>2003</v>
      </c>
      <c r="H246" s="2">
        <v>2003</v>
      </c>
      <c r="I246" s="2">
        <v>2003</v>
      </c>
      <c r="J246" s="2">
        <v>2003</v>
      </c>
      <c r="K246" s="2">
        <v>2003</v>
      </c>
      <c r="L246" s="2">
        <v>2003</v>
      </c>
      <c r="M246" s="2">
        <v>2003</v>
      </c>
      <c r="N246" s="2">
        <v>2003</v>
      </c>
      <c r="O246" s="2">
        <v>2003</v>
      </c>
      <c r="P246" s="2">
        <v>2003</v>
      </c>
      <c r="Q246" s="2">
        <v>2003</v>
      </c>
      <c r="R246" s="2">
        <v>2003</v>
      </c>
    </row>
    <row r="247" spans="1:18">
      <c r="A247" s="1" t="s">
        <v>0</v>
      </c>
      <c r="B247" s="3">
        <v>31025.473347111511</v>
      </c>
      <c r="C247" s="3">
        <v>30934.934842697792</v>
      </c>
      <c r="D247" s="3">
        <v>33639.977668901287</v>
      </c>
      <c r="E247" s="3">
        <v>31843.167106777189</v>
      </c>
      <c r="F247" s="3">
        <v>28837.690851160543</v>
      </c>
      <c r="G247" s="3">
        <v>28629.603567108188</v>
      </c>
      <c r="H247" s="3">
        <v>28021.540925391917</v>
      </c>
      <c r="I247" s="3">
        <v>36514.480323588679</v>
      </c>
      <c r="J247" s="3">
        <v>29369.486151858993</v>
      </c>
      <c r="K247" s="3">
        <v>33844.052602966447</v>
      </c>
      <c r="L247" s="3">
        <v>24474.292826654051</v>
      </c>
      <c r="M247" s="3">
        <v>45227.210510678138</v>
      </c>
      <c r="N247" s="3">
        <v>26459.349040909397</v>
      </c>
      <c r="O247" s="3">
        <v>30655.241241954347</v>
      </c>
      <c r="P247" s="3">
        <v>35612.544681653184</v>
      </c>
      <c r="Q247" s="3">
        <v>31632.610437062733</v>
      </c>
      <c r="R247" s="3">
        <v>42077.924515387174</v>
      </c>
    </row>
    <row r="248" spans="1:18">
      <c r="A248" s="1" t="s">
        <v>1</v>
      </c>
      <c r="B248" s="2">
        <v>46266</v>
      </c>
      <c r="C248" s="2">
        <v>52883</v>
      </c>
      <c r="D248" s="2">
        <v>47488</v>
      </c>
      <c r="E248" s="2">
        <v>45172</v>
      </c>
      <c r="F248" s="2">
        <v>46673</v>
      </c>
      <c r="G248" s="2">
        <v>49855</v>
      </c>
      <c r="H248" s="2">
        <v>45875</v>
      </c>
      <c r="I248" s="2">
        <v>51338</v>
      </c>
      <c r="J248" s="2">
        <v>41822</v>
      </c>
      <c r="K248" s="2">
        <v>43554</v>
      </c>
      <c r="L248" s="2">
        <v>36041</v>
      </c>
      <c r="M248" s="2">
        <v>51042</v>
      </c>
      <c r="N248" s="2">
        <v>39103</v>
      </c>
      <c r="O248" s="2">
        <v>45285</v>
      </c>
      <c r="P248" s="2">
        <v>39449</v>
      </c>
      <c r="Q248" s="2">
        <v>46216</v>
      </c>
      <c r="R248" s="2">
        <v>61460</v>
      </c>
    </row>
    <row r="249" spans="1:18">
      <c r="A249" s="1" t="s">
        <v>2</v>
      </c>
      <c r="B249" s="2">
        <v>26.614748785842636</v>
      </c>
      <c r="C249" s="2">
        <v>24.763811889613514</v>
      </c>
      <c r="D249" s="2">
        <v>23.750406989923135</v>
      </c>
      <c r="E249" s="2">
        <v>25.881119934546497</v>
      </c>
      <c r="F249" s="2">
        <v>26.237708804309733</v>
      </c>
      <c r="G249" s="2">
        <v>19.355271213874815</v>
      </c>
      <c r="H249" s="2">
        <v>21.421961875519866</v>
      </c>
      <c r="I249" s="2">
        <v>39.206973740844852</v>
      </c>
      <c r="J249" s="2">
        <v>24.054534505832159</v>
      </c>
      <c r="K249" s="2">
        <v>25.589743052133894</v>
      </c>
      <c r="L249" s="2">
        <v>23.55324683340865</v>
      </c>
      <c r="M249" s="2">
        <v>31.019387627567124</v>
      </c>
      <c r="N249" s="2">
        <v>25.032755190388745</v>
      </c>
      <c r="O249" s="2">
        <v>23.974966078777399</v>
      </c>
      <c r="P249" s="2">
        <v>27.192140304416345</v>
      </c>
      <c r="Q249" s="2">
        <v>14.534627959274887</v>
      </c>
      <c r="R249" s="2">
        <v>13.802494296303644</v>
      </c>
    </row>
    <row r="250" spans="1:18">
      <c r="A250" s="1" t="s">
        <v>3</v>
      </c>
      <c r="B250" s="2">
        <v>92.989950068347454</v>
      </c>
      <c r="C250" s="2">
        <v>142.46280195685787</v>
      </c>
      <c r="D250" s="2">
        <v>72.481628783975921</v>
      </c>
      <c r="E250" s="2">
        <v>84.355556444007192</v>
      </c>
      <c r="F250" s="2">
        <v>70.579464169146092</v>
      </c>
      <c r="G250" s="2">
        <v>50.927204692380855</v>
      </c>
      <c r="H250" s="2">
        <v>48.289520860151271</v>
      </c>
      <c r="I250" s="2">
        <v>150.28409307593299</v>
      </c>
      <c r="J250" s="2">
        <v>22.090295613072179</v>
      </c>
      <c r="K250" s="2">
        <v>119.72785121974232</v>
      </c>
      <c r="L250" s="2">
        <v>57.008245437904201</v>
      </c>
      <c r="M250" s="2">
        <v>67.730016499173161</v>
      </c>
      <c r="N250" s="2">
        <v>55.008926268257987</v>
      </c>
      <c r="O250" s="2">
        <v>80.21609773713125</v>
      </c>
      <c r="P250" s="2">
        <v>79.378724669819192</v>
      </c>
      <c r="Q250" s="2">
        <v>53.952239845996289</v>
      </c>
      <c r="R250" s="2">
        <v>23.320678491879558</v>
      </c>
    </row>
    <row r="251" spans="1:18">
      <c r="A251" s="6" t="s">
        <v>27</v>
      </c>
      <c r="B251" s="2">
        <v>78.631707317073179</v>
      </c>
      <c r="C251" s="2">
        <v>78.729268292682946</v>
      </c>
      <c r="D251" s="2">
        <v>79.839024390243921</v>
      </c>
      <c r="E251" s="2">
        <v>77.143902439024401</v>
      </c>
      <c r="F251" s="2">
        <v>78.368292682926835</v>
      </c>
      <c r="G251" s="2">
        <v>79.263414634146358</v>
      </c>
      <c r="H251" s="2">
        <v>79.93170731707319</v>
      </c>
      <c r="I251" s="2">
        <v>77.91756097560976</v>
      </c>
      <c r="J251" s="2">
        <v>81.760000000000005</v>
      </c>
      <c r="K251" s="2">
        <v>78.492682926829289</v>
      </c>
      <c r="L251" s="2">
        <v>79.146341463414643</v>
      </c>
      <c r="M251" s="2">
        <v>79.390243902439025</v>
      </c>
      <c r="N251" s="2">
        <v>79.61951219512197</v>
      </c>
      <c r="O251" s="2">
        <v>80.095121951219525</v>
      </c>
      <c r="P251" s="2">
        <v>80.536585365853682</v>
      </c>
      <c r="Q251" s="2">
        <v>78.44634146341464</v>
      </c>
      <c r="R251" s="2">
        <v>76.987804878048777</v>
      </c>
    </row>
    <row r="252" spans="1:18">
      <c r="A252" s="6" t="s">
        <v>8</v>
      </c>
      <c r="B252" s="2">
        <v>98.81514</v>
      </c>
      <c r="C252" s="2">
        <v>162.34866</v>
      </c>
      <c r="D252" s="2">
        <v>106.570383244231</v>
      </c>
      <c r="E252" s="2">
        <v>126.18579</v>
      </c>
      <c r="F252" s="2">
        <v>131.8254</v>
      </c>
      <c r="G252" s="2">
        <v>108.13961999999999</v>
      </c>
      <c r="H252" s="2">
        <v>99.165949999999995</v>
      </c>
      <c r="I252" s="2">
        <v>106.3882</v>
      </c>
      <c r="J252" s="2">
        <v>102.22766</v>
      </c>
      <c r="K252" s="2">
        <v>122.11279</v>
      </c>
      <c r="L252" s="2">
        <v>118.67487</v>
      </c>
      <c r="M252" s="2">
        <v>113.56863</v>
      </c>
      <c r="N252" s="2">
        <v>112.98857</v>
      </c>
      <c r="O252" s="2">
        <v>136.89355</v>
      </c>
      <c r="P252" s="2">
        <v>93.418390000000002</v>
      </c>
      <c r="Q252" s="2">
        <v>102.00657</v>
      </c>
      <c r="R252" s="2">
        <v>95.35454</v>
      </c>
    </row>
    <row r="253" spans="1:18">
      <c r="A253" s="3" t="s">
        <v>4</v>
      </c>
      <c r="B253" s="2">
        <f t="shared" ref="B253:R253" si="105">(B247-1951.774)/(45227.21-1951.774)</f>
        <v>0.67182914915314795</v>
      </c>
      <c r="C253" s="2">
        <f t="shared" si="105"/>
        <v>0.6697370037519158</v>
      </c>
      <c r="D253" s="2">
        <f t="shared" si="105"/>
        <v>0.73224458487030109</v>
      </c>
      <c r="E253" s="2">
        <f t="shared" si="105"/>
        <v>0.69072425074532318</v>
      </c>
      <c r="F253" s="2">
        <f t="shared" si="105"/>
        <v>0.62127431485983275</v>
      </c>
      <c r="G253" s="2">
        <f t="shared" si="105"/>
        <v>0.61646587609442427</v>
      </c>
      <c r="H253" s="2">
        <f t="shared" si="105"/>
        <v>0.60241488786830277</v>
      </c>
      <c r="I253" s="2">
        <f t="shared" si="105"/>
        <v>0.79866800934342241</v>
      </c>
      <c r="J253" s="2">
        <f t="shared" si="105"/>
        <v>0.63356293283466836</v>
      </c>
      <c r="K253" s="2">
        <f t="shared" si="105"/>
        <v>0.73696030706580162</v>
      </c>
      <c r="L253" s="2">
        <f t="shared" si="105"/>
        <v>0.52044579808864433</v>
      </c>
      <c r="M253" s="2">
        <f t="shared" si="105"/>
        <v>1.0000000118006469</v>
      </c>
      <c r="N253" s="2">
        <f t="shared" si="105"/>
        <v>0.56631607457194411</v>
      </c>
      <c r="O253" s="2">
        <f t="shared" si="105"/>
        <v>0.66327390074023385</v>
      </c>
      <c r="P253" s="2">
        <f t="shared" si="105"/>
        <v>0.77782626341773164</v>
      </c>
      <c r="Q253" s="2">
        <f t="shared" si="105"/>
        <v>0.68585874991675944</v>
      </c>
      <c r="R253" s="2">
        <f t="shared" si="105"/>
        <v>0.92722694961148799</v>
      </c>
    </row>
    <row r="254" spans="1:18">
      <c r="A254" s="3" t="s">
        <v>5</v>
      </c>
      <c r="B254" s="2">
        <f t="shared" ref="B254:R254" si="106">(B248-5606)/(61460-5606)</f>
        <v>0.72796934865900387</v>
      </c>
      <c r="C254" s="2">
        <f t="shared" si="106"/>
        <v>0.84643893006767645</v>
      </c>
      <c r="D254" s="2">
        <f t="shared" si="106"/>
        <v>0.74984781752425966</v>
      </c>
      <c r="E254" s="2">
        <f t="shared" si="106"/>
        <v>0.70838256884019046</v>
      </c>
      <c r="F254" s="2">
        <f t="shared" si="106"/>
        <v>0.73525620367386402</v>
      </c>
      <c r="G254" s="2">
        <f t="shared" si="106"/>
        <v>0.79222616106277077</v>
      </c>
      <c r="H254" s="2">
        <f t="shared" si="106"/>
        <v>0.72096895477494893</v>
      </c>
      <c r="I254" s="2">
        <f t="shared" si="106"/>
        <v>0.81877752712428831</v>
      </c>
      <c r="J254" s="2">
        <f t="shared" si="106"/>
        <v>0.64840476957782789</v>
      </c>
      <c r="K254" s="2">
        <f t="shared" si="106"/>
        <v>0.67941418698750311</v>
      </c>
      <c r="L254" s="2">
        <f t="shared" si="106"/>
        <v>0.5449027822537329</v>
      </c>
      <c r="M254" s="2">
        <f t="shared" si="106"/>
        <v>0.81347799620438999</v>
      </c>
      <c r="N254" s="2">
        <f t="shared" si="106"/>
        <v>0.59972428116159993</v>
      </c>
      <c r="O254" s="2">
        <f t="shared" si="106"/>
        <v>0.71040570057650299</v>
      </c>
      <c r="P254" s="2">
        <f t="shared" si="106"/>
        <v>0.60591900311526481</v>
      </c>
      <c r="Q254" s="2">
        <f t="shared" si="106"/>
        <v>0.72707415762523719</v>
      </c>
      <c r="R254" s="2">
        <f t="shared" si="106"/>
        <v>1</v>
      </c>
    </row>
    <row r="255" spans="1:18">
      <c r="A255" s="3" t="s">
        <v>6</v>
      </c>
      <c r="B255" s="2">
        <f t="shared" ref="B255:R255" si="107">(B249-10.825)/(43.402-10.825)</f>
        <v>0.48469008152508325</v>
      </c>
      <c r="C255" s="2">
        <f t="shared" si="107"/>
        <v>0.42787279030031972</v>
      </c>
      <c r="D255" s="2">
        <f t="shared" si="107"/>
        <v>0.39676480307956952</v>
      </c>
      <c r="E255" s="2">
        <f t="shared" si="107"/>
        <v>0.46217024080015034</v>
      </c>
      <c r="F255" s="2">
        <f t="shared" si="107"/>
        <v>0.47311627234888831</v>
      </c>
      <c r="G255" s="2">
        <f t="shared" si="107"/>
        <v>0.26184950160772374</v>
      </c>
      <c r="H255" s="2">
        <f t="shared" si="107"/>
        <v>0.32528967908401224</v>
      </c>
      <c r="I255" s="2">
        <f t="shared" si="107"/>
        <v>0.87122736104751375</v>
      </c>
      <c r="J255" s="2">
        <f t="shared" si="107"/>
        <v>0.40610045448728121</v>
      </c>
      <c r="K255" s="2">
        <f t="shared" si="107"/>
        <v>0.45322598926033386</v>
      </c>
      <c r="L255" s="2">
        <f t="shared" si="107"/>
        <v>0.39071267561189343</v>
      </c>
      <c r="M255" s="2">
        <f t="shared" si="107"/>
        <v>0.61989709388731695</v>
      </c>
      <c r="N255" s="2">
        <f t="shared" si="107"/>
        <v>0.43612840931911306</v>
      </c>
      <c r="O255" s="2">
        <f t="shared" si="107"/>
        <v>0.40365798197431935</v>
      </c>
      <c r="P255" s="2">
        <f t="shared" si="107"/>
        <v>0.50241398239298729</v>
      </c>
      <c r="Q255" s="2">
        <f t="shared" si="107"/>
        <v>0.1138726082596583</v>
      </c>
      <c r="R255" s="2">
        <f t="shared" si="107"/>
        <v>9.139866458862525E-2</v>
      </c>
    </row>
    <row r="256" spans="1:18">
      <c r="A256" s="3" t="s">
        <v>3</v>
      </c>
      <c r="B256" s="2">
        <f>(B250-22.09)/(194.195-22.09)</f>
        <v>0.41195752632606525</v>
      </c>
      <c r="C256" s="2">
        <f t="shared" ref="C256:R256" si="108">(C250-22.09)/(194.195-22.09)</f>
        <v>0.69941490344183999</v>
      </c>
      <c r="D256" s="2">
        <f t="shared" si="108"/>
        <v>0.29279584430420919</v>
      </c>
      <c r="E256" s="2">
        <f t="shared" si="108"/>
        <v>0.36178819002357393</v>
      </c>
      <c r="F256" s="2">
        <f t="shared" si="108"/>
        <v>0.28174349478019867</v>
      </c>
      <c r="G256" s="2">
        <f t="shared" si="108"/>
        <v>0.16755587979652453</v>
      </c>
      <c r="H256" s="2">
        <f t="shared" si="108"/>
        <v>0.152229864676513</v>
      </c>
      <c r="I256" s="2">
        <f t="shared" si="108"/>
        <v>0.7448597837130414</v>
      </c>
      <c r="J256" s="2">
        <f t="shared" si="108"/>
        <v>1.7176320977262684E-6</v>
      </c>
      <c r="K256" s="2">
        <f t="shared" si="108"/>
        <v>0.56731559931287479</v>
      </c>
      <c r="L256" s="2">
        <f t="shared" si="108"/>
        <v>0.2028891980936301</v>
      </c>
      <c r="M256" s="2">
        <f t="shared" si="108"/>
        <v>0.26518704569404233</v>
      </c>
      <c r="N256" s="2">
        <f t="shared" si="108"/>
        <v>0.1912723411188402</v>
      </c>
      <c r="O256" s="2">
        <f t="shared" si="108"/>
        <v>0.33773625250359518</v>
      </c>
      <c r="P256" s="2">
        <f t="shared" si="108"/>
        <v>0.33287077464233572</v>
      </c>
      <c r="Q256" s="2">
        <f t="shared" si="108"/>
        <v>0.18513256352805724</v>
      </c>
      <c r="R256" s="2">
        <f t="shared" si="108"/>
        <v>7.1507422322393812E-3</v>
      </c>
    </row>
    <row r="257" spans="1:18">
      <c r="A257" s="3" t="s">
        <v>7</v>
      </c>
      <c r="B257" s="2">
        <f t="shared" ref="B257:R257" si="109">(B251-62.671)/(81.76-62.671)</f>
        <v>0.83612066200812896</v>
      </c>
      <c r="C257" s="2">
        <f t="shared" si="109"/>
        <v>0.84123150991057372</v>
      </c>
      <c r="D257" s="2">
        <f t="shared" si="109"/>
        <v>0.89936740480087574</v>
      </c>
      <c r="E257" s="2">
        <f t="shared" si="109"/>
        <v>0.75818023149585612</v>
      </c>
      <c r="F257" s="2">
        <f t="shared" si="109"/>
        <v>0.82232137267152972</v>
      </c>
      <c r="G257" s="2">
        <f t="shared" si="109"/>
        <v>0.86921340217645515</v>
      </c>
      <c r="H257" s="2">
        <f t="shared" si="109"/>
        <v>0.90422271030819767</v>
      </c>
      <c r="I257" s="2">
        <f t="shared" si="109"/>
        <v>0.79870925536223769</v>
      </c>
      <c r="J257" s="2">
        <f t="shared" si="109"/>
        <v>1</v>
      </c>
      <c r="K257" s="2">
        <f t="shared" si="109"/>
        <v>0.82883770374714683</v>
      </c>
      <c r="L257" s="2">
        <f t="shared" si="109"/>
        <v>0.86308038469352188</v>
      </c>
      <c r="M257" s="2">
        <f t="shared" si="109"/>
        <v>0.87585750444963173</v>
      </c>
      <c r="N257" s="2">
        <f t="shared" si="109"/>
        <v>0.88786799702037644</v>
      </c>
      <c r="O257" s="2">
        <f t="shared" si="109"/>
        <v>0.91278338054479125</v>
      </c>
      <c r="P257" s="2">
        <f t="shared" si="109"/>
        <v>0.93590996730335152</v>
      </c>
      <c r="Q257" s="2">
        <f t="shared" si="109"/>
        <v>0.82641005099348508</v>
      </c>
      <c r="R257" s="2">
        <f t="shared" si="109"/>
        <v>0.75000287485194472</v>
      </c>
    </row>
    <row r="258" spans="1:18">
      <c r="A258" s="4" t="s">
        <v>8</v>
      </c>
      <c r="B258" s="2">
        <f>(B252-49.769)/(162.349-49.769)</f>
        <v>0.43565588914549663</v>
      </c>
      <c r="C258" s="2">
        <f t="shared" ref="C258:R258" si="110">(C252-49.769)/(162.349-49.769)</f>
        <v>0.9999969799253865</v>
      </c>
      <c r="D258" s="2">
        <f t="shared" si="110"/>
        <v>0.50454239868743123</v>
      </c>
      <c r="E258" s="2">
        <f t="shared" si="110"/>
        <v>0.67877766921300409</v>
      </c>
      <c r="F258" s="2">
        <f t="shared" si="110"/>
        <v>0.72887191330609347</v>
      </c>
      <c r="G258" s="2">
        <f t="shared" si="110"/>
        <v>0.51848125777225085</v>
      </c>
      <c r="H258" s="2">
        <f t="shared" si="110"/>
        <v>0.43877198436667264</v>
      </c>
      <c r="I258" s="2">
        <f t="shared" si="110"/>
        <v>0.50292414283176412</v>
      </c>
      <c r="J258" s="2">
        <f t="shared" si="110"/>
        <v>0.46596784508793754</v>
      </c>
      <c r="K258" s="2">
        <f t="shared" si="110"/>
        <v>0.64259895185645788</v>
      </c>
      <c r="L258" s="2">
        <f t="shared" si="110"/>
        <v>0.61206137857523546</v>
      </c>
      <c r="M258" s="2">
        <f t="shared" si="110"/>
        <v>0.56670483211938183</v>
      </c>
      <c r="N258" s="2">
        <f t="shared" si="110"/>
        <v>0.56155240717711852</v>
      </c>
      <c r="O258" s="2">
        <f t="shared" si="110"/>
        <v>0.77389012257949907</v>
      </c>
      <c r="P258" s="2">
        <f t="shared" si="110"/>
        <v>0.38771886658376276</v>
      </c>
      <c r="Q258" s="2">
        <f t="shared" si="110"/>
        <v>0.4640039971575769</v>
      </c>
      <c r="R258" s="2">
        <f t="shared" si="110"/>
        <v>0.40491685912240194</v>
      </c>
    </row>
    <row r="259" spans="1:18">
      <c r="A259" s="4" t="s">
        <v>60</v>
      </c>
      <c r="B259" s="2">
        <f>(B253+B254+B255+B256+B257+B258)/6</f>
        <v>0.59470377613615433</v>
      </c>
      <c r="C259" s="2">
        <f t="shared" ref="C259:R259" si="111">(C253+C254+C255+C256+C257+C258)/6</f>
        <v>0.74744868623295202</v>
      </c>
      <c r="D259" s="2">
        <f t="shared" si="111"/>
        <v>0.59592714221110776</v>
      </c>
      <c r="E259" s="2">
        <f t="shared" si="111"/>
        <v>0.61000385851968308</v>
      </c>
      <c r="F259" s="2">
        <f t="shared" si="111"/>
        <v>0.61043059527340116</v>
      </c>
      <c r="G259" s="2">
        <f t="shared" si="111"/>
        <v>0.53763201308502484</v>
      </c>
      <c r="H259" s="2">
        <f t="shared" si="111"/>
        <v>0.52398301351310794</v>
      </c>
      <c r="I259" s="2">
        <f t="shared" si="111"/>
        <v>0.75586101323704469</v>
      </c>
      <c r="J259" s="2">
        <f t="shared" si="111"/>
        <v>0.52567295326996877</v>
      </c>
      <c r="K259" s="2">
        <f t="shared" si="111"/>
        <v>0.65139212303835292</v>
      </c>
      <c r="L259" s="2">
        <f t="shared" si="111"/>
        <v>0.52234870288610968</v>
      </c>
      <c r="M259" s="2">
        <f t="shared" si="111"/>
        <v>0.69018741402590156</v>
      </c>
      <c r="N259" s="2">
        <f t="shared" si="111"/>
        <v>0.54047691839483203</v>
      </c>
      <c r="O259" s="2">
        <f t="shared" si="111"/>
        <v>0.6336245564864903</v>
      </c>
      <c r="P259" s="2">
        <f t="shared" si="111"/>
        <v>0.59044314290923883</v>
      </c>
      <c r="Q259" s="2">
        <f t="shared" si="111"/>
        <v>0.50039202124679572</v>
      </c>
      <c r="R259" s="2">
        <f t="shared" si="111"/>
        <v>0.53011601506778316</v>
      </c>
    </row>
    <row r="261" spans="1:18">
      <c r="A261" s="1" t="s">
        <v>9</v>
      </c>
      <c r="B261" s="2" t="s">
        <v>10</v>
      </c>
      <c r="C261" s="2" t="s">
        <v>11</v>
      </c>
      <c r="D261" s="2" t="s">
        <v>12</v>
      </c>
      <c r="E261" s="2" t="s">
        <v>13</v>
      </c>
      <c r="F261" s="2" t="s">
        <v>14</v>
      </c>
      <c r="G261" s="2" t="s">
        <v>15</v>
      </c>
      <c r="H261" s="2" t="s">
        <v>16</v>
      </c>
      <c r="I261" s="2" t="s">
        <v>17</v>
      </c>
      <c r="J261" s="2" t="s">
        <v>18</v>
      </c>
      <c r="K261" s="2" t="s">
        <v>19</v>
      </c>
      <c r="L261" s="2" t="s">
        <v>20</v>
      </c>
      <c r="M261" s="2" t="s">
        <v>21</v>
      </c>
      <c r="N261" s="2" t="s">
        <v>22</v>
      </c>
      <c r="O261" s="2" t="s">
        <v>23</v>
      </c>
      <c r="P261" s="2" t="s">
        <v>24</v>
      </c>
      <c r="Q261" s="2" t="s">
        <v>25</v>
      </c>
      <c r="R261" s="2" t="s">
        <v>26</v>
      </c>
    </row>
    <row r="262" spans="1:18">
      <c r="B262" s="2">
        <v>2002</v>
      </c>
      <c r="C262" s="2">
        <v>2002</v>
      </c>
      <c r="D262" s="2">
        <v>2002</v>
      </c>
      <c r="E262" s="2">
        <v>2002</v>
      </c>
      <c r="F262" s="2">
        <v>2002</v>
      </c>
      <c r="G262" s="2">
        <v>2002</v>
      </c>
      <c r="H262" s="2">
        <v>2002</v>
      </c>
      <c r="I262" s="2">
        <v>2002</v>
      </c>
      <c r="J262" s="2">
        <v>2002</v>
      </c>
      <c r="K262" s="2">
        <v>2002</v>
      </c>
      <c r="L262" s="2">
        <v>2002</v>
      </c>
      <c r="M262" s="2">
        <v>2002</v>
      </c>
      <c r="N262" s="2">
        <v>2002</v>
      </c>
      <c r="O262" s="2">
        <v>2002</v>
      </c>
      <c r="P262" s="2">
        <v>2002</v>
      </c>
      <c r="Q262" s="2">
        <v>2002</v>
      </c>
      <c r="R262" s="2">
        <v>2002</v>
      </c>
    </row>
    <row r="263" spans="1:18">
      <c r="A263" s="1" t="s">
        <v>0</v>
      </c>
      <c r="B263" s="3">
        <v>8596.0481120545937</v>
      </c>
      <c r="C263" s="3">
        <v>8056.1769603854127</v>
      </c>
      <c r="D263" s="3">
        <v>11336.578860105885</v>
      </c>
      <c r="E263" s="3">
        <v>3108.051800382525</v>
      </c>
      <c r="F263" s="3">
        <v>6655.3717792366833</v>
      </c>
      <c r="G263" s="3">
        <v>8102.4051937706554</v>
      </c>
      <c r="H263" s="3">
        <v>1838.2438488411808</v>
      </c>
      <c r="I263" s="3">
        <v>2819.2258458361725</v>
      </c>
      <c r="J263" s="3">
        <v>10791.803039764181</v>
      </c>
      <c r="K263" s="3">
        <v>11440.209904931151</v>
      </c>
      <c r="L263" s="3">
        <v>5644.3675061748781</v>
      </c>
      <c r="M263" s="3">
        <v>2747.2156810227898</v>
      </c>
      <c r="N263" s="3">
        <v>5855.0190751212631</v>
      </c>
      <c r="O263" s="3">
        <v>6320.8985435051145</v>
      </c>
      <c r="P263" s="3">
        <v>9627.9434628301969</v>
      </c>
      <c r="Q263" s="3">
        <v>8456.9114372502554</v>
      </c>
      <c r="R263" s="3">
        <v>8649.5320435012836</v>
      </c>
    </row>
    <row r="264" spans="1:18">
      <c r="A264" s="1" t="s">
        <v>1</v>
      </c>
      <c r="B264" s="2">
        <v>22885</v>
      </c>
      <c r="C264" s="2">
        <v>14502</v>
      </c>
      <c r="D264" s="2">
        <v>28481</v>
      </c>
      <c r="E264" s="2">
        <v>5695</v>
      </c>
      <c r="F264" s="2">
        <v>14803</v>
      </c>
      <c r="G264" s="2">
        <v>15587</v>
      </c>
      <c r="H264" s="2">
        <v>5295</v>
      </c>
      <c r="I264" s="2">
        <v>8056</v>
      </c>
      <c r="J264" s="2">
        <v>19811</v>
      </c>
      <c r="K264" s="2">
        <v>18807</v>
      </c>
      <c r="L264" s="2">
        <v>12181</v>
      </c>
      <c r="M264" s="2">
        <v>6750</v>
      </c>
      <c r="N264" s="2">
        <v>12871</v>
      </c>
      <c r="O264" s="2">
        <v>13756</v>
      </c>
      <c r="P264" s="2">
        <v>20055</v>
      </c>
      <c r="Q264" s="2">
        <v>22412</v>
      </c>
      <c r="R264" s="2">
        <v>21851</v>
      </c>
    </row>
    <row r="265" spans="1:18">
      <c r="A265" s="1" t="s">
        <v>2</v>
      </c>
      <c r="B265" s="2">
        <v>26.850306666531086</v>
      </c>
      <c r="C265" s="2">
        <v>11.590863504592692</v>
      </c>
      <c r="D265" s="2">
        <v>22.461222737675186</v>
      </c>
      <c r="E265" s="2">
        <v>40.437181519523428</v>
      </c>
      <c r="F265" s="2">
        <v>13.900041985464062</v>
      </c>
      <c r="G265" s="2">
        <v>17.374327803679659</v>
      </c>
      <c r="H265" s="2">
        <v>23.50748958369568</v>
      </c>
      <c r="I265" s="2">
        <v>27.699848954355545</v>
      </c>
      <c r="J265" s="2">
        <v>42.031976994517414</v>
      </c>
      <c r="K265" s="2">
        <v>18.844836226697272</v>
      </c>
      <c r="L265" s="2">
        <v>17.723024686404294</v>
      </c>
      <c r="M265" s="2">
        <v>15.52939558129682</v>
      </c>
      <c r="N265" s="2">
        <v>30.493154660835426</v>
      </c>
      <c r="O265" s="2">
        <v>20.038174899395759</v>
      </c>
      <c r="P265" s="2">
        <v>19.248588398712162</v>
      </c>
      <c r="Q265" s="2">
        <v>14.287183605916104</v>
      </c>
      <c r="R265" s="2">
        <v>33.450318501920705</v>
      </c>
    </row>
    <row r="266" spans="1:18">
      <c r="A266" s="1" t="s">
        <v>3</v>
      </c>
      <c r="B266" s="2">
        <v>40.489689427476492</v>
      </c>
      <c r="C266" s="2">
        <v>102.98033489443286</v>
      </c>
      <c r="D266" s="2">
        <v>61.937071327379158</v>
      </c>
      <c r="E266" s="2">
        <v>47.695339227244553</v>
      </c>
      <c r="F266" s="2">
        <v>32.982639214423429</v>
      </c>
      <c r="G266" s="2">
        <v>90.019634861981771</v>
      </c>
      <c r="H266" s="2">
        <v>29.064996984830881</v>
      </c>
      <c r="I266" s="2">
        <v>59.07946357773438</v>
      </c>
      <c r="J266" s="2">
        <v>199.35623269565491</v>
      </c>
      <c r="K266" s="2">
        <v>55.461681470582391</v>
      </c>
      <c r="L266" s="2">
        <v>33.378429942968069</v>
      </c>
      <c r="M266" s="2">
        <v>102.43508030367711</v>
      </c>
      <c r="N266" s="2">
        <v>121.69699978516294</v>
      </c>
      <c r="O266" s="2">
        <v>85.342175969265568</v>
      </c>
      <c r="P266" s="2">
        <v>48.800082482088861</v>
      </c>
      <c r="Q266" s="2">
        <v>40.029067311811481</v>
      </c>
      <c r="R266" s="2">
        <v>48.57571064940683</v>
      </c>
    </row>
    <row r="267" spans="1:18">
      <c r="A267" s="6" t="s">
        <v>27</v>
      </c>
      <c r="B267" s="5">
        <v>74.138609756097566</v>
      </c>
      <c r="C267" s="5">
        <v>71.865853658536579</v>
      </c>
      <c r="D267" s="5">
        <v>77.555219512195137</v>
      </c>
      <c r="E267" s="5">
        <v>71.57943902439024</v>
      </c>
      <c r="F267" s="5">
        <v>71.534024390243914</v>
      </c>
      <c r="G267" s="5">
        <v>78.134756097560981</v>
      </c>
      <c r="H267" s="5">
        <v>62.32112195121951</v>
      </c>
      <c r="I267" s="5">
        <v>66.237804878048777</v>
      </c>
      <c r="J267" s="5">
        <v>72.492268292682937</v>
      </c>
      <c r="K267" s="5">
        <v>74.762073170731711</v>
      </c>
      <c r="L267" s="5">
        <v>71.359243902439033</v>
      </c>
      <c r="M267" s="5">
        <v>67.063804878048785</v>
      </c>
      <c r="N267" s="5">
        <v>72.776926829268305</v>
      </c>
      <c r="O267" s="5">
        <v>73</v>
      </c>
      <c r="P267" s="5">
        <v>70.639146341463416</v>
      </c>
      <c r="Q267" s="5">
        <v>74.836341463414641</v>
      </c>
      <c r="R267" s="5">
        <v>73.629268292682937</v>
      </c>
    </row>
    <row r="268" spans="1:18">
      <c r="A268" s="6" t="s">
        <v>48</v>
      </c>
      <c r="B268" s="5">
        <v>87.054249999999996</v>
      </c>
      <c r="C268" s="5">
        <v>95.526060000000001</v>
      </c>
      <c r="D268" s="5">
        <v>85.835909999999998</v>
      </c>
      <c r="E268" s="5">
        <v>64.448890000000006</v>
      </c>
      <c r="F268" s="5">
        <v>73.552310000000006</v>
      </c>
      <c r="G268" s="5">
        <v>66.444469999999995</v>
      </c>
      <c r="H268" s="5">
        <v>47.342140000000001</v>
      </c>
      <c r="I268" s="5">
        <v>56.405419999999999</v>
      </c>
      <c r="J268" s="5">
        <v>66.907799999999995</v>
      </c>
      <c r="K268" s="5">
        <v>76.809280000000001</v>
      </c>
      <c r="L268" s="5">
        <v>89.903139999999993</v>
      </c>
      <c r="M268" s="5">
        <v>79.661649999999995</v>
      </c>
      <c r="N268" s="5">
        <v>63.917409999999997</v>
      </c>
      <c r="O268" s="5">
        <v>79.482230000000001</v>
      </c>
      <c r="P268" s="5">
        <v>86.827209999999994</v>
      </c>
      <c r="Q268" s="5">
        <v>106.22462</v>
      </c>
      <c r="R268" s="5">
        <v>67.810860000000005</v>
      </c>
    </row>
    <row r="269" spans="1:18">
      <c r="A269" s="3" t="s">
        <v>4</v>
      </c>
      <c r="B269" s="2">
        <f>(B263-1838.244)/(45051.36-1838.244)</f>
        <v>0.15638317107367572</v>
      </c>
      <c r="C269" s="2">
        <f t="shared" ref="C269:R269" si="112">(C263-1838.244)/(45051.36-1838.244)</f>
        <v>0.14388994675564273</v>
      </c>
      <c r="D269" s="2">
        <f t="shared" si="112"/>
        <v>0.21980212813410363</v>
      </c>
      <c r="E269" s="2">
        <f t="shared" si="112"/>
        <v>2.9384777537970766E-2</v>
      </c>
      <c r="F269" s="2">
        <f t="shared" si="112"/>
        <v>0.11147374281541474</v>
      </c>
      <c r="G269" s="2">
        <f t="shared" si="112"/>
        <v>0.14495971995564161</v>
      </c>
      <c r="H269" s="2">
        <f t="shared" si="112"/>
        <v>-3.497984711583335E-9</v>
      </c>
      <c r="I269" s="2">
        <f t="shared" si="112"/>
        <v>2.2701020815906275E-2</v>
      </c>
      <c r="J269" s="2">
        <f t="shared" si="112"/>
        <v>0.20719540427874214</v>
      </c>
      <c r="K269" s="2">
        <f t="shared" si="112"/>
        <v>0.22220026681091801</v>
      </c>
      <c r="L269" s="2">
        <f t="shared" si="112"/>
        <v>8.8077969340949136E-2</v>
      </c>
      <c r="M269" s="2">
        <f t="shared" si="112"/>
        <v>2.1034624788982815E-2</v>
      </c>
      <c r="N269" s="2">
        <f t="shared" si="112"/>
        <v>9.2952683049314547E-2</v>
      </c>
      <c r="O269" s="2">
        <f t="shared" si="112"/>
        <v>0.10373365677923144</v>
      </c>
      <c r="P269" s="2">
        <f t="shared" si="112"/>
        <v>0.1802623875313735</v>
      </c>
      <c r="Q269" s="2">
        <f t="shared" si="112"/>
        <v>0.15316339227308337</v>
      </c>
      <c r="R269" s="2">
        <f t="shared" si="112"/>
        <v>0.15762084926949688</v>
      </c>
    </row>
    <row r="270" spans="1:18">
      <c r="A270" s="3" t="s">
        <v>5</v>
      </c>
      <c r="B270" s="2">
        <f>(B264-5295)/(60424-5295)</f>
        <v>0.31906981806308837</v>
      </c>
      <c r="C270" s="2">
        <f t="shared" ref="C270:R270" si="113">(C264-5295)/(60424-5295)</f>
        <v>0.1670082896479167</v>
      </c>
      <c r="D270" s="2">
        <f t="shared" si="113"/>
        <v>0.42057719167770141</v>
      </c>
      <c r="E270" s="2">
        <f t="shared" si="113"/>
        <v>7.2557093362839884E-3</v>
      </c>
      <c r="F270" s="2">
        <f t="shared" si="113"/>
        <v>0.17246821092347039</v>
      </c>
      <c r="G270" s="2">
        <f t="shared" si="113"/>
        <v>0.18668940122258704</v>
      </c>
      <c r="H270" s="2">
        <f t="shared" si="113"/>
        <v>0</v>
      </c>
      <c r="I270" s="2">
        <f t="shared" si="113"/>
        <v>5.0082533693700228E-2</v>
      </c>
      <c r="J270" s="2">
        <f t="shared" si="113"/>
        <v>0.26330969181374592</v>
      </c>
      <c r="K270" s="2">
        <f t="shared" si="113"/>
        <v>0.24509786137967313</v>
      </c>
      <c r="L270" s="2">
        <f t="shared" si="113"/>
        <v>0.12490703622412887</v>
      </c>
      <c r="M270" s="2">
        <f t="shared" si="113"/>
        <v>2.6392642710733008E-2</v>
      </c>
      <c r="N270" s="2">
        <f t="shared" si="113"/>
        <v>0.13742313482921875</v>
      </c>
      <c r="O270" s="2">
        <f t="shared" si="113"/>
        <v>0.15347639173574706</v>
      </c>
      <c r="P270" s="2">
        <f t="shared" si="113"/>
        <v>0.2677356745088792</v>
      </c>
      <c r="Q270" s="2">
        <f t="shared" si="113"/>
        <v>0.3104899417729326</v>
      </c>
      <c r="R270" s="2">
        <f t="shared" si="113"/>
        <v>0.30031380942879426</v>
      </c>
    </row>
    <row r="271" spans="1:18">
      <c r="A271" s="3" t="s">
        <v>6</v>
      </c>
      <c r="B271" s="2">
        <f>(B265-11.591)/(42.032-11.591)</f>
        <v>0.50127481575937349</v>
      </c>
      <c r="C271" s="2">
        <f t="shared" ref="C271:R271" si="114">(C265-11.591)/(42.032-11.591)</f>
        <v>-4.4839330937727177E-6</v>
      </c>
      <c r="D271" s="2">
        <f t="shared" si="114"/>
        <v>0.35709151268602174</v>
      </c>
      <c r="E271" s="2">
        <f t="shared" si="114"/>
        <v>0.94760952398158504</v>
      </c>
      <c r="F271" s="2">
        <f t="shared" si="114"/>
        <v>7.5853026689795447E-2</v>
      </c>
      <c r="G271" s="2">
        <f t="shared" si="114"/>
        <v>0.1899848166512158</v>
      </c>
      <c r="H271" s="2">
        <f t="shared" si="114"/>
        <v>0.39146183054747485</v>
      </c>
      <c r="I271" s="2">
        <f t="shared" si="114"/>
        <v>0.52918264690238648</v>
      </c>
      <c r="J271" s="2">
        <f t="shared" si="114"/>
        <v>0.99999924425995923</v>
      </c>
      <c r="K271" s="2">
        <f t="shared" si="114"/>
        <v>0.23829165358225005</v>
      </c>
      <c r="L271" s="2">
        <f t="shared" si="114"/>
        <v>0.20143965987990853</v>
      </c>
      <c r="M271" s="2">
        <f t="shared" si="114"/>
        <v>0.12937799616625015</v>
      </c>
      <c r="N271" s="2">
        <f t="shared" si="114"/>
        <v>0.62094394602133407</v>
      </c>
      <c r="O271" s="2">
        <f t="shared" si="114"/>
        <v>0.27749334448263069</v>
      </c>
      <c r="P271" s="2">
        <f t="shared" si="114"/>
        <v>0.25155508684708661</v>
      </c>
      <c r="Q271" s="2">
        <f t="shared" si="114"/>
        <v>8.8570796160313547E-2</v>
      </c>
      <c r="R271" s="2">
        <f t="shared" si="114"/>
        <v>0.71808805564602696</v>
      </c>
    </row>
    <row r="272" spans="1:18">
      <c r="A272" s="3" t="s">
        <v>3</v>
      </c>
      <c r="B272" s="2">
        <f t="shared" ref="B272:R272" si="115">(B266-21.164)/(199.356-21.164)</f>
        <v>0.10845430450007008</v>
      </c>
      <c r="C272" s="2">
        <f t="shared" si="115"/>
        <v>0.45914707110550895</v>
      </c>
      <c r="D272" s="2">
        <f t="shared" si="115"/>
        <v>0.22881538636627433</v>
      </c>
      <c r="E272" s="2">
        <f t="shared" si="115"/>
        <v>0.14889186510755001</v>
      </c>
      <c r="F272" s="2">
        <f t="shared" si="115"/>
        <v>6.6325307614390247E-2</v>
      </c>
      <c r="G272" s="2">
        <f t="shared" si="115"/>
        <v>0.38641260472962741</v>
      </c>
      <c r="H272" s="2">
        <f t="shared" si="115"/>
        <v>4.4339796314261465E-2</v>
      </c>
      <c r="I272" s="2">
        <f t="shared" si="115"/>
        <v>0.21277870823456932</v>
      </c>
      <c r="J272" s="2">
        <f t="shared" si="115"/>
        <v>1.0000013058703809</v>
      </c>
      <c r="K272" s="2">
        <f t="shared" si="115"/>
        <v>0.19247598921714998</v>
      </c>
      <c r="L272" s="2">
        <f t="shared" si="115"/>
        <v>6.8546455188605929E-2</v>
      </c>
      <c r="M272" s="2">
        <f t="shared" si="115"/>
        <v>0.45608714366344788</v>
      </c>
      <c r="N272" s="2">
        <f t="shared" si="115"/>
        <v>0.56418357605932334</v>
      </c>
      <c r="O272" s="2">
        <f t="shared" si="115"/>
        <v>0.36016305989755748</v>
      </c>
      <c r="P272" s="2">
        <f t="shared" si="115"/>
        <v>0.15509160053250909</v>
      </c>
      <c r="Q272" s="2">
        <f t="shared" si="115"/>
        <v>0.10586932809447944</v>
      </c>
      <c r="R272" s="2">
        <f t="shared" si="115"/>
        <v>0.1538324428111634</v>
      </c>
    </row>
    <row r="273" spans="1:18">
      <c r="A273" s="3" t="s">
        <v>7</v>
      </c>
      <c r="B273" s="2">
        <f t="shared" ref="B273:R273" si="116">(B267-62.321)/(81.563-62.321)</f>
        <v>0.61415703960594348</v>
      </c>
      <c r="C273" s="2">
        <f t="shared" si="116"/>
        <v>0.49604270130633921</v>
      </c>
      <c r="D273" s="2">
        <f t="shared" si="116"/>
        <v>0.79171705187585151</v>
      </c>
      <c r="E273" s="2">
        <f t="shared" si="116"/>
        <v>0.4811578330937657</v>
      </c>
      <c r="F273" s="2">
        <f t="shared" si="116"/>
        <v>0.4787976504648121</v>
      </c>
      <c r="G273" s="2">
        <f t="shared" si="116"/>
        <v>0.82183536521988254</v>
      </c>
      <c r="H273" s="2">
        <f t="shared" si="116"/>
        <v>6.3377621615260464E-6</v>
      </c>
      <c r="I273" s="2">
        <f t="shared" si="116"/>
        <v>0.20355497755164631</v>
      </c>
      <c r="J273" s="2">
        <f t="shared" si="116"/>
        <v>0.52859725042526429</v>
      </c>
      <c r="K273" s="2">
        <f t="shared" si="116"/>
        <v>0.64655821488055865</v>
      </c>
      <c r="L273" s="2">
        <f t="shared" si="116"/>
        <v>0.46971436973490455</v>
      </c>
      <c r="M273" s="2">
        <f t="shared" si="116"/>
        <v>0.24648190822413396</v>
      </c>
      <c r="N273" s="2">
        <f t="shared" si="116"/>
        <v>0.54339085486271199</v>
      </c>
      <c r="O273" s="2">
        <f t="shared" si="116"/>
        <v>0.55498388940858534</v>
      </c>
      <c r="P273" s="2">
        <f t="shared" si="116"/>
        <v>0.43229115172349114</v>
      </c>
      <c r="Q273" s="2">
        <f t="shared" si="116"/>
        <v>0.65041791203693167</v>
      </c>
      <c r="R273" s="2">
        <f t="shared" si="116"/>
        <v>0.58768674216209005</v>
      </c>
    </row>
    <row r="274" spans="1:18">
      <c r="A274" s="4" t="s">
        <v>8</v>
      </c>
      <c r="B274" s="2">
        <f t="shared" ref="B274:R274" si="117">(B268-47.342)/(158.272-47.342)</f>
        <v>0.3579937798611737</v>
      </c>
      <c r="C274" s="2">
        <f t="shared" si="117"/>
        <v>0.43436455422338416</v>
      </c>
      <c r="D274" s="2">
        <f t="shared" si="117"/>
        <v>0.34701081763274139</v>
      </c>
      <c r="E274" s="2">
        <f t="shared" si="117"/>
        <v>0.15421337780582356</v>
      </c>
      <c r="F274" s="2">
        <f t="shared" si="117"/>
        <v>0.23627792301451372</v>
      </c>
      <c r="G274" s="2">
        <f t="shared" si="117"/>
        <v>0.17220292076084015</v>
      </c>
      <c r="H274" s="2">
        <f t="shared" si="117"/>
        <v>1.262057153175925E-6</v>
      </c>
      <c r="I274" s="2">
        <f t="shared" si="117"/>
        <v>8.1703957450644557E-2</v>
      </c>
      <c r="J274" s="2">
        <f t="shared" si="117"/>
        <v>0.176379698909222</v>
      </c>
      <c r="K274" s="2">
        <f t="shared" si="117"/>
        <v>0.26563851077255929</v>
      </c>
      <c r="L274" s="2">
        <f t="shared" si="117"/>
        <v>0.38367565131163794</v>
      </c>
      <c r="M274" s="2">
        <f t="shared" si="117"/>
        <v>0.29135175335797348</v>
      </c>
      <c r="N274" s="2">
        <f t="shared" si="117"/>
        <v>0.1494222482646714</v>
      </c>
      <c r="O274" s="2">
        <f t="shared" si="117"/>
        <v>0.28973433696925993</v>
      </c>
      <c r="P274" s="2">
        <f t="shared" si="117"/>
        <v>0.3559470837465068</v>
      </c>
      <c r="Q274" s="2">
        <f t="shared" si="117"/>
        <v>0.53080879834129635</v>
      </c>
      <c r="R274" s="2">
        <f t="shared" si="117"/>
        <v>0.18452050842873891</v>
      </c>
    </row>
    <row r="275" spans="1:18">
      <c r="A275" s="3" t="s">
        <v>59</v>
      </c>
      <c r="B275" s="2">
        <f t="shared" ref="B275:R275" si="118">(B269+B270+B271+B272+B273+B274)/6</f>
        <v>0.34288882147722083</v>
      </c>
      <c r="C275" s="2">
        <f t="shared" si="118"/>
        <v>0.28340801318428294</v>
      </c>
      <c r="D275" s="2">
        <f t="shared" si="118"/>
        <v>0.39416901472878235</v>
      </c>
      <c r="E275" s="2">
        <f t="shared" si="118"/>
        <v>0.29475218114382984</v>
      </c>
      <c r="F275" s="2">
        <f t="shared" si="118"/>
        <v>0.1901993102537328</v>
      </c>
      <c r="G275" s="2">
        <f t="shared" si="118"/>
        <v>0.31701413808996576</v>
      </c>
      <c r="H275" s="2">
        <f t="shared" si="118"/>
        <v>7.2634870530511056E-2</v>
      </c>
      <c r="I275" s="2">
        <f t="shared" si="118"/>
        <v>0.1833339741081422</v>
      </c>
      <c r="J275" s="2">
        <f t="shared" si="118"/>
        <v>0.52924709925955238</v>
      </c>
      <c r="K275" s="2">
        <f t="shared" si="118"/>
        <v>0.30171041610718485</v>
      </c>
      <c r="L275" s="2">
        <f t="shared" si="118"/>
        <v>0.22272685694668914</v>
      </c>
      <c r="M275" s="2">
        <f t="shared" si="118"/>
        <v>0.19512101148525354</v>
      </c>
      <c r="N275" s="2">
        <f t="shared" si="118"/>
        <v>0.35138607384776233</v>
      </c>
      <c r="O275" s="2">
        <f t="shared" si="118"/>
        <v>0.28993077987883537</v>
      </c>
      <c r="P275" s="2">
        <f t="shared" si="118"/>
        <v>0.2738138308149744</v>
      </c>
      <c r="Q275" s="2">
        <f t="shared" si="118"/>
        <v>0.30655336144650619</v>
      </c>
      <c r="R275" s="2">
        <f t="shared" si="118"/>
        <v>0.35034373462438512</v>
      </c>
    </row>
    <row r="277" spans="1:18">
      <c r="A277" s="1" t="s">
        <v>9</v>
      </c>
      <c r="B277" s="2" t="s">
        <v>28</v>
      </c>
      <c r="C277" s="2" t="s">
        <v>29</v>
      </c>
      <c r="D277" s="2" t="s">
        <v>30</v>
      </c>
      <c r="E277" s="2" t="s">
        <v>31</v>
      </c>
      <c r="F277" s="2" t="s">
        <v>32</v>
      </c>
      <c r="G277" s="2" t="s">
        <v>33</v>
      </c>
      <c r="H277" s="2" t="s">
        <v>34</v>
      </c>
      <c r="I277" s="2" t="s">
        <v>35</v>
      </c>
      <c r="J277" s="2" t="s">
        <v>36</v>
      </c>
      <c r="K277" s="2" t="s">
        <v>37</v>
      </c>
      <c r="L277" s="2" t="s">
        <v>38</v>
      </c>
      <c r="M277" s="2" t="s">
        <v>39</v>
      </c>
      <c r="N277" s="2" t="s">
        <v>40</v>
      </c>
      <c r="O277" s="2" t="s">
        <v>41</v>
      </c>
      <c r="P277" s="2" t="s">
        <v>42</v>
      </c>
      <c r="Q277" s="2" t="s">
        <v>43</v>
      </c>
      <c r="R277" s="2" t="s">
        <v>44</v>
      </c>
    </row>
    <row r="278" spans="1:18">
      <c r="B278" s="2">
        <v>2002</v>
      </c>
      <c r="C278" s="2">
        <v>2002</v>
      </c>
      <c r="D278" s="2">
        <v>2002</v>
      </c>
      <c r="E278" s="2">
        <v>2002</v>
      </c>
      <c r="F278" s="2">
        <v>2002</v>
      </c>
      <c r="G278" s="2">
        <v>2002</v>
      </c>
      <c r="H278" s="2">
        <v>2002</v>
      </c>
      <c r="I278" s="2">
        <v>2002</v>
      </c>
      <c r="J278" s="2">
        <v>2002</v>
      </c>
      <c r="K278" s="2">
        <v>2002</v>
      </c>
      <c r="L278" s="2">
        <v>2002</v>
      </c>
      <c r="M278" s="2">
        <v>2002</v>
      </c>
      <c r="N278" s="2">
        <v>2002</v>
      </c>
      <c r="O278" s="2">
        <v>2002</v>
      </c>
      <c r="P278" s="2">
        <v>2002</v>
      </c>
      <c r="Q278" s="2">
        <v>2002</v>
      </c>
      <c r="R278" s="2">
        <v>2002</v>
      </c>
    </row>
    <row r="279" spans="1:18">
      <c r="A279" s="1" t="s">
        <v>0</v>
      </c>
      <c r="B279" s="3">
        <v>30451.21049533167</v>
      </c>
      <c r="C279" s="3">
        <v>30816.079019896388</v>
      </c>
      <c r="D279" s="3">
        <v>33349.456972692031</v>
      </c>
      <c r="E279" s="3">
        <v>31807.813456779881</v>
      </c>
      <c r="F279" s="3">
        <v>28336.289521083279</v>
      </c>
      <c r="G279" s="3">
        <v>28576.035835515235</v>
      </c>
      <c r="H279" s="3">
        <v>28253.967395840111</v>
      </c>
      <c r="I279" s="3">
        <v>35726.312827907081</v>
      </c>
      <c r="J279" s="3">
        <v>28944.648872266691</v>
      </c>
      <c r="K279" s="3">
        <v>33890.393656017884</v>
      </c>
      <c r="L279" s="3">
        <v>24027.104558729359</v>
      </c>
      <c r="M279" s="3">
        <v>45051.362816945024</v>
      </c>
      <c r="N279" s="3">
        <v>26095.405736618803</v>
      </c>
      <c r="O279" s="3">
        <v>30067.23867451114</v>
      </c>
      <c r="P279" s="3">
        <v>35870.180199575821</v>
      </c>
      <c r="Q279" s="3">
        <v>30554.255434089861</v>
      </c>
      <c r="R279" s="3">
        <v>41288.796023235001</v>
      </c>
    </row>
    <row r="280" spans="1:18">
      <c r="A280" s="1" t="s">
        <v>1</v>
      </c>
      <c r="B280" s="2">
        <v>46163</v>
      </c>
      <c r="C280" s="2">
        <v>52409</v>
      </c>
      <c r="D280" s="2">
        <v>47723</v>
      </c>
      <c r="E280" s="2">
        <v>44515</v>
      </c>
      <c r="F280" s="2">
        <v>45779</v>
      </c>
      <c r="G280" s="2">
        <v>49474</v>
      </c>
      <c r="H280" s="2">
        <v>46570</v>
      </c>
      <c r="I280" s="2">
        <v>50204</v>
      </c>
      <c r="J280" s="2">
        <v>40994</v>
      </c>
      <c r="K280" s="2">
        <v>43195</v>
      </c>
      <c r="L280" s="2">
        <v>35600</v>
      </c>
      <c r="M280" s="2">
        <v>49924</v>
      </c>
      <c r="N280" s="2">
        <v>39146</v>
      </c>
      <c r="O280" s="2">
        <v>43995</v>
      </c>
      <c r="P280" s="2">
        <v>39391</v>
      </c>
      <c r="Q280" s="2">
        <v>45383</v>
      </c>
      <c r="R280" s="2">
        <v>60424</v>
      </c>
    </row>
    <row r="281" spans="1:18">
      <c r="A281" s="1" t="s">
        <v>2</v>
      </c>
      <c r="B281" s="2">
        <v>26.90079454068059</v>
      </c>
      <c r="C281" s="2">
        <v>24.900603082421263</v>
      </c>
      <c r="D281" s="2">
        <v>23.708718411317498</v>
      </c>
      <c r="E281" s="2">
        <v>26.244648465073787</v>
      </c>
      <c r="F281" s="2">
        <v>28.379488464697939</v>
      </c>
      <c r="G281" s="2">
        <v>20.116870048454647</v>
      </c>
      <c r="H281" s="2">
        <v>22.254891085957869</v>
      </c>
      <c r="I281" s="2">
        <v>39.142425285509979</v>
      </c>
      <c r="J281" s="2">
        <v>23.801124718770222</v>
      </c>
      <c r="K281" s="2">
        <v>26.20836862175257</v>
      </c>
      <c r="L281" s="2">
        <v>23.810938733389854</v>
      </c>
      <c r="M281" s="2">
        <v>32.297835877536293</v>
      </c>
      <c r="N281" s="2">
        <v>24.513683771724139</v>
      </c>
      <c r="O281" s="2">
        <v>24.178333053694708</v>
      </c>
      <c r="P281" s="2">
        <v>27.615606600186943</v>
      </c>
      <c r="Q281" s="2">
        <v>14.473343134328218</v>
      </c>
      <c r="R281" s="2">
        <v>14.331174104360636</v>
      </c>
    </row>
    <row r="282" spans="1:18">
      <c r="A282" s="1" t="s">
        <v>3</v>
      </c>
      <c r="B282" s="2">
        <v>92.609103954654088</v>
      </c>
      <c r="C282" s="2">
        <v>147.64611719157173</v>
      </c>
      <c r="D282" s="2">
        <v>78.71299022903014</v>
      </c>
      <c r="E282" s="2">
        <v>88.537425595725921</v>
      </c>
      <c r="F282" s="2">
        <v>71.821004413627946</v>
      </c>
      <c r="G282" s="2">
        <v>53.483527481591167</v>
      </c>
      <c r="H282" s="2">
        <v>50.027282335284085</v>
      </c>
      <c r="I282" s="2">
        <v>169.64336474737649</v>
      </c>
      <c r="J282" s="2">
        <v>21.163925657171134</v>
      </c>
      <c r="K282" s="2">
        <v>121.78524292046239</v>
      </c>
      <c r="L282" s="2">
        <v>62.216935112247519</v>
      </c>
      <c r="M282" s="2">
        <v>68.877581320192363</v>
      </c>
      <c r="N282" s="2">
        <v>56.77442002693148</v>
      </c>
      <c r="O282" s="2">
        <v>81.992936737558466</v>
      </c>
      <c r="P282" s="2">
        <v>80.345897981977004</v>
      </c>
      <c r="Q282" s="2">
        <v>55.246168113576744</v>
      </c>
      <c r="R282" s="2">
        <v>22.975958905403111</v>
      </c>
    </row>
    <row r="283" spans="1:18">
      <c r="A283" s="6" t="s">
        <v>27</v>
      </c>
      <c r="B283" s="2">
        <v>78.678048780487828</v>
      </c>
      <c r="C283" s="2">
        <v>78.575609756097563</v>
      </c>
      <c r="D283" s="2">
        <v>79.590243902439028</v>
      </c>
      <c r="E283" s="2">
        <v>76.895121951219508</v>
      </c>
      <c r="F283" s="2">
        <v>78.119512195121956</v>
      </c>
      <c r="G283" s="2">
        <v>79.260975609756116</v>
      </c>
      <c r="H283" s="2">
        <v>79.978048780487811</v>
      </c>
      <c r="I283" s="2">
        <v>77.636585365853662</v>
      </c>
      <c r="J283" s="2">
        <v>81.563414634146341</v>
      </c>
      <c r="K283" s="2">
        <v>78.292682926829272</v>
      </c>
      <c r="L283" s="2">
        <v>78.846341463414632</v>
      </c>
      <c r="M283" s="2">
        <v>78.987804878048792</v>
      </c>
      <c r="N283" s="2">
        <v>79.568292682926838</v>
      </c>
      <c r="O283" s="2">
        <v>79.846341463414646</v>
      </c>
      <c r="P283" s="2">
        <v>80.385365853658541</v>
      </c>
      <c r="Q283" s="2">
        <v>78.143902439024387</v>
      </c>
      <c r="R283" s="2">
        <v>76.836585365853665</v>
      </c>
    </row>
    <row r="284" spans="1:18">
      <c r="A284" s="6" t="s">
        <v>8</v>
      </c>
      <c r="B284" s="2">
        <v>98.140280000000004</v>
      </c>
      <c r="C284" s="2">
        <v>158.27162999999999</v>
      </c>
      <c r="D284" s="2">
        <v>104.50951000000001</v>
      </c>
      <c r="E284" s="2">
        <v>126.02367</v>
      </c>
      <c r="F284" s="2">
        <v>129.06744</v>
      </c>
      <c r="G284" s="2">
        <v>107.41342</v>
      </c>
      <c r="H284" s="2">
        <v>98.232759999999999</v>
      </c>
      <c r="I284" s="2">
        <v>104.20406</v>
      </c>
      <c r="J284" s="2">
        <v>102.81641999999999</v>
      </c>
      <c r="K284" s="2">
        <v>122.10429000000001</v>
      </c>
      <c r="L284" s="2">
        <v>115.97381</v>
      </c>
      <c r="M284" s="2">
        <v>112.43248</v>
      </c>
      <c r="N284" s="2">
        <v>112.74928</v>
      </c>
      <c r="O284" s="2">
        <v>143.88545999999999</v>
      </c>
      <c r="P284" s="2">
        <v>93.421329999999998</v>
      </c>
      <c r="Q284" s="2">
        <v>102.60420000000001</v>
      </c>
      <c r="R284" s="2">
        <v>93.292280000000005</v>
      </c>
    </row>
    <row r="285" spans="1:18">
      <c r="A285" s="3" t="s">
        <v>4</v>
      </c>
      <c r="B285" s="2">
        <f t="shared" ref="B285:R285" si="119">(B279-1838.244)/(45051.36-1838.244)</f>
        <v>0.66213615549805915</v>
      </c>
      <c r="C285" s="2">
        <f t="shared" si="119"/>
        <v>0.6705796226288423</v>
      </c>
      <c r="D285" s="2">
        <f t="shared" si="119"/>
        <v>0.72920483153059434</v>
      </c>
      <c r="E285" s="2">
        <f t="shared" si="119"/>
        <v>0.69352947046863922</v>
      </c>
      <c r="F285" s="2">
        <f t="shared" si="119"/>
        <v>0.61319451069169095</v>
      </c>
      <c r="G285" s="2">
        <f t="shared" si="119"/>
        <v>0.61874250946206322</v>
      </c>
      <c r="H285" s="2">
        <f t="shared" si="119"/>
        <v>0.61128948432786268</v>
      </c>
      <c r="I285" s="2">
        <f t="shared" si="119"/>
        <v>0.78420794343798494</v>
      </c>
      <c r="J285" s="2">
        <f t="shared" si="119"/>
        <v>0.62727262880711243</v>
      </c>
      <c r="K285" s="2">
        <f t="shared" si="119"/>
        <v>0.74172271344695173</v>
      </c>
      <c r="L285" s="2">
        <f t="shared" si="119"/>
        <v>0.51347513469589556</v>
      </c>
      <c r="M285" s="2">
        <f t="shared" si="119"/>
        <v>1.0000000651872691</v>
      </c>
      <c r="N285" s="2">
        <f t="shared" si="119"/>
        <v>0.5613379450956234</v>
      </c>
      <c r="O285" s="2">
        <f t="shared" si="119"/>
        <v>0.65325061665331285</v>
      </c>
      <c r="P285" s="2">
        <f t="shared" si="119"/>
        <v>0.78753719587302662</v>
      </c>
      <c r="Q285" s="2">
        <f t="shared" si="119"/>
        <v>0.66452073102272613</v>
      </c>
      <c r="R285" s="2">
        <f t="shared" si="119"/>
        <v>0.91293004705411662</v>
      </c>
    </row>
    <row r="286" spans="1:18">
      <c r="A286" s="3" t="s">
        <v>5</v>
      </c>
      <c r="B286" s="2">
        <f t="shared" ref="B286:R286" si="120">(B280-5295)/(60424-5295)</f>
        <v>0.74131582288813513</v>
      </c>
      <c r="C286" s="2">
        <f t="shared" si="120"/>
        <v>0.85461372417420955</v>
      </c>
      <c r="D286" s="2">
        <f t="shared" si="120"/>
        <v>0.76961308929964267</v>
      </c>
      <c r="E286" s="2">
        <f t="shared" si="120"/>
        <v>0.71142230042264509</v>
      </c>
      <c r="F286" s="2">
        <f t="shared" si="120"/>
        <v>0.73435034192530246</v>
      </c>
      <c r="G286" s="2">
        <f t="shared" si="120"/>
        <v>0.80137495691922578</v>
      </c>
      <c r="H286" s="2">
        <f t="shared" si="120"/>
        <v>0.74869850713780406</v>
      </c>
      <c r="I286" s="2">
        <f t="shared" si="120"/>
        <v>0.81461662645794408</v>
      </c>
      <c r="J286" s="2">
        <f t="shared" si="120"/>
        <v>0.64755391899000525</v>
      </c>
      <c r="K286" s="2">
        <f t="shared" si="120"/>
        <v>0.68747845961290788</v>
      </c>
      <c r="L286" s="2">
        <f t="shared" si="120"/>
        <v>0.54971067859021572</v>
      </c>
      <c r="M286" s="2">
        <f t="shared" si="120"/>
        <v>0.8095376299225453</v>
      </c>
      <c r="N286" s="2">
        <f t="shared" si="120"/>
        <v>0.61403254185637324</v>
      </c>
      <c r="O286" s="2">
        <f t="shared" si="120"/>
        <v>0.70198987828547588</v>
      </c>
      <c r="P286" s="2">
        <f t="shared" si="120"/>
        <v>0.61847666382484723</v>
      </c>
      <c r="Q286" s="2">
        <f t="shared" si="120"/>
        <v>0.72716718968238137</v>
      </c>
      <c r="R286" s="2">
        <f t="shared" si="120"/>
        <v>1</v>
      </c>
    </row>
    <row r="287" spans="1:18">
      <c r="A287" s="3" t="s">
        <v>6</v>
      </c>
      <c r="B287" s="2">
        <f t="shared" ref="B287:R287" si="121">(B281-11.591)/(42.032-11.591)</f>
        <v>0.50293336423509716</v>
      </c>
      <c r="C287" s="2">
        <f t="shared" si="121"/>
        <v>0.43722621078221036</v>
      </c>
      <c r="D287" s="2">
        <f t="shared" si="121"/>
        <v>0.39807228446232057</v>
      </c>
      <c r="E287" s="2">
        <f t="shared" si="121"/>
        <v>0.48137868220734503</v>
      </c>
      <c r="F287" s="2">
        <f t="shared" si="121"/>
        <v>0.55150909840997153</v>
      </c>
      <c r="G287" s="2">
        <f t="shared" si="121"/>
        <v>0.28007851412419593</v>
      </c>
      <c r="H287" s="2">
        <f t="shared" si="121"/>
        <v>0.35031342879530475</v>
      </c>
      <c r="I287" s="2">
        <f t="shared" si="121"/>
        <v>0.90507622238132723</v>
      </c>
      <c r="J287" s="2">
        <f t="shared" si="121"/>
        <v>0.40110787158011313</v>
      </c>
      <c r="K287" s="2">
        <f t="shared" si="121"/>
        <v>0.48018687368196095</v>
      </c>
      <c r="L287" s="2">
        <f t="shared" si="121"/>
        <v>0.40143026619985733</v>
      </c>
      <c r="M287" s="2">
        <f t="shared" si="121"/>
        <v>0.68022850358188947</v>
      </c>
      <c r="N287" s="2">
        <f t="shared" si="121"/>
        <v>0.4245157442831754</v>
      </c>
      <c r="O287" s="2">
        <f t="shared" si="121"/>
        <v>0.41349932833003877</v>
      </c>
      <c r="P287" s="2">
        <f t="shared" si="121"/>
        <v>0.52641524917666782</v>
      </c>
      <c r="Q287" s="2">
        <f t="shared" si="121"/>
        <v>9.468621708643668E-2</v>
      </c>
      <c r="R287" s="2">
        <f t="shared" si="121"/>
        <v>9.0015903037371892E-2</v>
      </c>
    </row>
    <row r="288" spans="1:18">
      <c r="A288" s="3" t="s">
        <v>3</v>
      </c>
      <c r="B288" s="2">
        <f>(B282-21.164)/(199.356-21.164)</f>
        <v>0.40094450903886864</v>
      </c>
      <c r="C288" s="2">
        <f t="shared" ref="C288:R288" si="122">(C282-21.164)/(199.356-21.164)</f>
        <v>0.70980805643110645</v>
      </c>
      <c r="D288" s="2">
        <f t="shared" si="122"/>
        <v>0.32296057190575411</v>
      </c>
      <c r="E288" s="2">
        <f t="shared" si="122"/>
        <v>0.37809455865429376</v>
      </c>
      <c r="F288" s="2">
        <f t="shared" si="122"/>
        <v>0.2842832698080045</v>
      </c>
      <c r="G288" s="2">
        <f t="shared" si="122"/>
        <v>0.18137473894221495</v>
      </c>
      <c r="H288" s="2">
        <f t="shared" si="122"/>
        <v>0.16197855310723311</v>
      </c>
      <c r="I288" s="2">
        <f t="shared" si="122"/>
        <v>0.83325494268753086</v>
      </c>
      <c r="J288" s="2">
        <f t="shared" si="122"/>
        <v>-4.172063216485707E-7</v>
      </c>
      <c r="K288" s="2">
        <f t="shared" si="122"/>
        <v>0.56467878984725683</v>
      </c>
      <c r="L288" s="2">
        <f t="shared" si="122"/>
        <v>0.23038596071791953</v>
      </c>
      <c r="M288" s="2">
        <f t="shared" si="122"/>
        <v>0.26776500247032614</v>
      </c>
      <c r="N288" s="2">
        <f t="shared" si="122"/>
        <v>0.19984297851155763</v>
      </c>
      <c r="O288" s="2">
        <f t="shared" si="122"/>
        <v>0.3413673831460361</v>
      </c>
      <c r="P288" s="2">
        <f t="shared" si="122"/>
        <v>0.33212432646795031</v>
      </c>
      <c r="Q288" s="2">
        <f t="shared" si="122"/>
        <v>0.19126654458997452</v>
      </c>
      <c r="R288" s="2">
        <f t="shared" si="122"/>
        <v>1.0168576060671126E-2</v>
      </c>
    </row>
    <row r="289" spans="1:18">
      <c r="A289" s="3" t="s">
        <v>7</v>
      </c>
      <c r="B289" s="2">
        <f>(B283-62.321)/(81.563-62.321)</f>
        <v>0.85007009564950764</v>
      </c>
      <c r="C289" s="2">
        <f t="shared" ref="C289:R289" si="123">(C283-62.321)/(81.563-62.321)</f>
        <v>0.84474637543381981</v>
      </c>
      <c r="D289" s="2">
        <f t="shared" si="123"/>
        <v>0.8974765566177646</v>
      </c>
      <c r="E289" s="2">
        <f t="shared" si="123"/>
        <v>0.75741201284791115</v>
      </c>
      <c r="F289" s="2">
        <f t="shared" si="123"/>
        <v>0.821043144949691</v>
      </c>
      <c r="G289" s="2">
        <f t="shared" si="123"/>
        <v>0.88036459878162943</v>
      </c>
      <c r="H289" s="2">
        <f t="shared" si="123"/>
        <v>0.91763064029143582</v>
      </c>
      <c r="I289" s="2">
        <f t="shared" si="123"/>
        <v>0.79594560679002502</v>
      </c>
      <c r="J289" s="2">
        <f t="shared" si="123"/>
        <v>1.000021548391349</v>
      </c>
      <c r="K289" s="2">
        <f t="shared" si="123"/>
        <v>0.83004276721906611</v>
      </c>
      <c r="L289" s="2">
        <f t="shared" si="123"/>
        <v>0.85881620743242026</v>
      </c>
      <c r="M289" s="2">
        <f t="shared" si="123"/>
        <v>0.86616801153979783</v>
      </c>
      <c r="N289" s="2">
        <f t="shared" si="123"/>
        <v>0.89633575942868915</v>
      </c>
      <c r="O289" s="2">
        <f t="shared" si="123"/>
        <v>0.91078585715698179</v>
      </c>
      <c r="P289" s="2">
        <f t="shared" si="123"/>
        <v>0.93879876591095202</v>
      </c>
      <c r="Q289" s="2">
        <f t="shared" si="123"/>
        <v>0.82231069738199691</v>
      </c>
      <c r="R289" s="2">
        <f t="shared" si="123"/>
        <v>0.75436988701037644</v>
      </c>
    </row>
    <row r="290" spans="1:18">
      <c r="A290" s="4" t="s">
        <v>8</v>
      </c>
      <c r="B290" s="2">
        <f>(B284-47.342)/(158.272-47.342)</f>
        <v>0.45793094744433432</v>
      </c>
      <c r="C290" s="2">
        <f t="shared" ref="C290:R290" si="124">(C284-47.342)/(158.272-47.342)</f>
        <v>0.99999666456323799</v>
      </c>
      <c r="D290" s="2">
        <f t="shared" si="124"/>
        <v>0.51534760659875611</v>
      </c>
      <c r="E290" s="2">
        <f t="shared" si="124"/>
        <v>0.70929117461462188</v>
      </c>
      <c r="F290" s="2">
        <f t="shared" si="124"/>
        <v>0.73672982962228439</v>
      </c>
      <c r="G290" s="2">
        <f t="shared" si="124"/>
        <v>0.541525466510412</v>
      </c>
      <c r="H290" s="2">
        <f t="shared" si="124"/>
        <v>0.45876462634093573</v>
      </c>
      <c r="I290" s="2">
        <f t="shared" si="124"/>
        <v>0.51259406833138021</v>
      </c>
      <c r="J290" s="2">
        <f t="shared" si="124"/>
        <v>0.50008491841701974</v>
      </c>
      <c r="K290" s="2">
        <f t="shared" si="124"/>
        <v>0.6739591634364015</v>
      </c>
      <c r="L290" s="2">
        <f t="shared" si="124"/>
        <v>0.61869476246281441</v>
      </c>
      <c r="M290" s="2">
        <f t="shared" si="124"/>
        <v>0.5867707563328225</v>
      </c>
      <c r="N290" s="2">
        <f t="shared" si="124"/>
        <v>0.58962661137654382</v>
      </c>
      <c r="O290" s="2">
        <f t="shared" si="124"/>
        <v>0.87030974488416124</v>
      </c>
      <c r="P290" s="2">
        <f t="shared" si="124"/>
        <v>0.4153910574236005</v>
      </c>
      <c r="Q290" s="2">
        <f t="shared" si="124"/>
        <v>0.49817182006670885</v>
      </c>
      <c r="R290" s="2">
        <f t="shared" si="124"/>
        <v>0.41422771116920587</v>
      </c>
    </row>
    <row r="291" spans="1:18">
      <c r="A291" s="4" t="s">
        <v>59</v>
      </c>
      <c r="B291" s="2">
        <f>(B285+B286+B287+B288+B289+B290)/6</f>
        <v>0.60255514912566699</v>
      </c>
      <c r="C291" s="2">
        <f t="shared" ref="C291:R291" si="125">(C285+C286+C287+C288+C289+C290)/6</f>
        <v>0.752828442335571</v>
      </c>
      <c r="D291" s="2">
        <f t="shared" si="125"/>
        <v>0.60544582340247199</v>
      </c>
      <c r="E291" s="2">
        <f t="shared" si="125"/>
        <v>0.62185469986924269</v>
      </c>
      <c r="F291" s="2">
        <f t="shared" si="125"/>
        <v>0.6235183659011575</v>
      </c>
      <c r="G291" s="2">
        <f t="shared" si="125"/>
        <v>0.55057679745662358</v>
      </c>
      <c r="H291" s="2">
        <f t="shared" si="125"/>
        <v>0.54144587333342942</v>
      </c>
      <c r="I291" s="2">
        <f t="shared" si="125"/>
        <v>0.77428256834769893</v>
      </c>
      <c r="J291" s="2">
        <f t="shared" si="125"/>
        <v>0.52934007816321305</v>
      </c>
      <c r="K291" s="2">
        <f t="shared" si="125"/>
        <v>0.66301146120742427</v>
      </c>
      <c r="L291" s="2">
        <f t="shared" si="125"/>
        <v>0.52875216834985372</v>
      </c>
      <c r="M291" s="2">
        <f t="shared" si="125"/>
        <v>0.70174499483910846</v>
      </c>
      <c r="N291" s="2">
        <f t="shared" si="125"/>
        <v>0.54761526342532718</v>
      </c>
      <c r="O291" s="2">
        <f t="shared" si="125"/>
        <v>0.64853380140933448</v>
      </c>
      <c r="P291" s="2">
        <f t="shared" si="125"/>
        <v>0.60312387644617405</v>
      </c>
      <c r="Q291" s="2">
        <f t="shared" si="125"/>
        <v>0.49968719997170408</v>
      </c>
      <c r="R291" s="2">
        <f t="shared" si="125"/>
        <v>0.53028535405529043</v>
      </c>
    </row>
    <row r="293" spans="1:18">
      <c r="A293" s="1" t="s">
        <v>9</v>
      </c>
      <c r="B293" s="2" t="s">
        <v>10</v>
      </c>
      <c r="C293" s="2" t="s">
        <v>11</v>
      </c>
      <c r="D293" s="2" t="s">
        <v>12</v>
      </c>
      <c r="E293" s="2" t="s">
        <v>13</v>
      </c>
      <c r="F293" s="2" t="s">
        <v>14</v>
      </c>
      <c r="G293" s="2" t="s">
        <v>15</v>
      </c>
      <c r="H293" s="2" t="s">
        <v>16</v>
      </c>
      <c r="I293" s="2" t="s">
        <v>17</v>
      </c>
      <c r="J293" s="2" t="s">
        <v>18</v>
      </c>
      <c r="K293" s="2" t="s">
        <v>19</v>
      </c>
      <c r="L293" s="2" t="s">
        <v>20</v>
      </c>
      <c r="M293" s="2" t="s">
        <v>21</v>
      </c>
      <c r="N293" s="2" t="s">
        <v>22</v>
      </c>
      <c r="O293" s="2" t="s">
        <v>23</v>
      </c>
      <c r="P293" s="2" t="s">
        <v>24</v>
      </c>
      <c r="Q293" s="2" t="s">
        <v>25</v>
      </c>
      <c r="R293" s="2" t="s">
        <v>26</v>
      </c>
    </row>
    <row r="294" spans="1:18">
      <c r="B294" s="2">
        <v>2001</v>
      </c>
      <c r="C294" s="2">
        <v>2001</v>
      </c>
      <c r="D294" s="2">
        <v>2001</v>
      </c>
      <c r="E294" s="2">
        <v>2001</v>
      </c>
      <c r="F294" s="2">
        <v>2001</v>
      </c>
      <c r="G294" s="2">
        <v>2001</v>
      </c>
      <c r="H294" s="2">
        <v>2001</v>
      </c>
      <c r="I294" s="2">
        <v>2001</v>
      </c>
      <c r="J294" s="2">
        <v>2001</v>
      </c>
      <c r="K294" s="2">
        <v>2001</v>
      </c>
      <c r="L294" s="2">
        <v>2001</v>
      </c>
      <c r="M294" s="2">
        <v>2001</v>
      </c>
      <c r="N294" s="2">
        <v>2001</v>
      </c>
      <c r="O294" s="2">
        <v>2001</v>
      </c>
      <c r="P294" s="2">
        <v>2001</v>
      </c>
      <c r="Q294" s="2">
        <v>2001</v>
      </c>
      <c r="R294" s="2">
        <v>2001</v>
      </c>
    </row>
    <row r="295" spans="1:18">
      <c r="A295" s="1" t="s">
        <v>0</v>
      </c>
      <c r="B295" s="3">
        <v>9738.7132905642957</v>
      </c>
      <c r="C295" s="3">
        <v>7548.8858770431971</v>
      </c>
      <c r="D295" s="3">
        <v>11224.011743967611</v>
      </c>
      <c r="E295" s="3">
        <v>2867.9611825868856</v>
      </c>
      <c r="F295" s="3">
        <v>6598.0737483689127</v>
      </c>
      <c r="G295" s="3">
        <v>8031.5294723330289</v>
      </c>
      <c r="H295" s="3">
        <v>1799.6366625423839</v>
      </c>
      <c r="I295" s="3">
        <v>2736.88396953651</v>
      </c>
      <c r="J295" s="3">
        <v>10448.655527735966</v>
      </c>
      <c r="K295" s="3">
        <v>11575.222506458005</v>
      </c>
      <c r="L295" s="3">
        <v>5447.4221100246277</v>
      </c>
      <c r="M295" s="3">
        <v>2705.9276808728123</v>
      </c>
      <c r="N295" s="3">
        <v>5623.6336848698393</v>
      </c>
      <c r="O295" s="3">
        <v>6278.3960391016381</v>
      </c>
      <c r="P295" s="3">
        <v>9199.3935689386071</v>
      </c>
      <c r="Q295" s="3">
        <v>9167.6292514864581</v>
      </c>
      <c r="R295" s="3">
        <v>9666.6645308024708</v>
      </c>
    </row>
    <row r="296" spans="1:18">
      <c r="A296" s="1" t="s">
        <v>1</v>
      </c>
      <c r="B296" s="2">
        <v>22863</v>
      </c>
      <c r="C296" s="2">
        <v>13890</v>
      </c>
      <c r="D296" s="2">
        <v>28386</v>
      </c>
      <c r="E296" s="2">
        <v>5100</v>
      </c>
      <c r="F296" s="2">
        <v>14397</v>
      </c>
      <c r="G296" s="2">
        <v>15517</v>
      </c>
      <c r="H296" s="2">
        <v>5227</v>
      </c>
      <c r="I296" s="2">
        <v>7780</v>
      </c>
      <c r="J296" s="2">
        <v>19171</v>
      </c>
      <c r="K296" s="2">
        <v>19091</v>
      </c>
      <c r="L296" s="2">
        <v>11696</v>
      </c>
      <c r="M296" s="2">
        <v>6715</v>
      </c>
      <c r="N296" s="2">
        <v>12585</v>
      </c>
      <c r="O296" s="2">
        <v>13825</v>
      </c>
      <c r="P296" s="2">
        <v>18745</v>
      </c>
      <c r="Q296" s="2">
        <v>24304</v>
      </c>
      <c r="R296" s="2">
        <v>23841</v>
      </c>
    </row>
    <row r="297" spans="1:18">
      <c r="A297" s="1" t="s">
        <v>2</v>
      </c>
      <c r="B297" s="2">
        <v>15.497563223683786</v>
      </c>
      <c r="C297" s="2">
        <v>10.815434467344415</v>
      </c>
      <c r="D297" s="2">
        <v>22.254557281460453</v>
      </c>
      <c r="E297" s="2">
        <v>38.387565059043958</v>
      </c>
      <c r="F297" s="2">
        <v>12.905411089612178</v>
      </c>
      <c r="G297" s="2">
        <v>17.253990867801189</v>
      </c>
      <c r="H297" s="2">
        <v>24.186377917139858</v>
      </c>
      <c r="I297" s="2">
        <v>30.810327505797773</v>
      </c>
      <c r="J297" s="2">
        <v>41.838283051457971</v>
      </c>
      <c r="K297" s="2">
        <v>18.64354758166656</v>
      </c>
      <c r="L297" s="2">
        <v>16.511574472594276</v>
      </c>
      <c r="M297" s="2">
        <v>15.286192164964611</v>
      </c>
      <c r="N297" s="2">
        <v>30.588553389089945</v>
      </c>
      <c r="O297" s="2">
        <v>22.260791774815402</v>
      </c>
      <c r="P297" s="2">
        <v>19.209586988868168</v>
      </c>
      <c r="Q297" s="2">
        <v>11.627745669345009</v>
      </c>
      <c r="R297" s="2">
        <v>30.854162807566098</v>
      </c>
    </row>
    <row r="298" spans="1:18">
      <c r="A298" s="1" t="s">
        <v>3</v>
      </c>
      <c r="B298" s="2">
        <v>21.738784231362711</v>
      </c>
      <c r="C298" s="2">
        <v>106.86605207970972</v>
      </c>
      <c r="D298" s="2">
        <v>61.414280337977125</v>
      </c>
      <c r="E298" s="2">
        <v>43.080551649779387</v>
      </c>
      <c r="F298" s="2">
        <v>33.901111794944455</v>
      </c>
      <c r="G298" s="2">
        <v>86.008287160964628</v>
      </c>
      <c r="H298" s="2">
        <v>25.627021341960717</v>
      </c>
      <c r="I298" s="2">
        <v>69.793205703380025</v>
      </c>
      <c r="J298" s="2">
        <v>203.3646360106529</v>
      </c>
      <c r="K298" s="2">
        <v>57.332933404714993</v>
      </c>
      <c r="L298" s="2">
        <v>33.451238546456118</v>
      </c>
      <c r="M298" s="2">
        <v>98.908941076435084</v>
      </c>
      <c r="N298" s="2">
        <v>125.22297643986502</v>
      </c>
      <c r="O298" s="2">
        <v>89.55220119446615</v>
      </c>
      <c r="P298" s="2">
        <v>50.756231425623675</v>
      </c>
      <c r="Q298" s="2">
        <v>36.309512627745782</v>
      </c>
      <c r="R298" s="2">
        <v>42.14126801736198</v>
      </c>
    </row>
    <row r="299" spans="1:18">
      <c r="A299" s="6" t="s">
        <v>27</v>
      </c>
      <c r="B299" s="5">
        <v>73.929512195121958</v>
      </c>
      <c r="C299" s="5">
        <v>71.768292682926841</v>
      </c>
      <c r="D299" s="5">
        <v>77.207219512195124</v>
      </c>
      <c r="E299" s="5">
        <v>71.405536585365866</v>
      </c>
      <c r="F299" s="5">
        <v>71.273658536585373</v>
      </c>
      <c r="G299" s="5">
        <v>77.974926829268298</v>
      </c>
      <c r="H299" s="5">
        <v>61.968780487804885</v>
      </c>
      <c r="I299" s="5">
        <v>65.949073170731722</v>
      </c>
      <c r="J299" s="5">
        <v>72.321121951219524</v>
      </c>
      <c r="K299" s="5">
        <v>74.52046341463415</v>
      </c>
      <c r="L299" s="5">
        <v>70.930707317073171</v>
      </c>
      <c r="M299" s="5">
        <v>66.934243902439036</v>
      </c>
      <c r="N299" s="5">
        <v>72.641439024390237</v>
      </c>
      <c r="O299" s="5">
        <v>72.848780487804888</v>
      </c>
      <c r="P299" s="5">
        <v>70.063999999999993</v>
      </c>
      <c r="Q299" s="5">
        <v>74.872195121951222</v>
      </c>
      <c r="R299" s="5">
        <v>73.429268292682934</v>
      </c>
    </row>
    <row r="300" spans="1:18">
      <c r="A300" s="6" t="s">
        <v>48</v>
      </c>
      <c r="B300" s="5">
        <v>87.502350000000007</v>
      </c>
      <c r="C300" s="5">
        <v>94.189809999999994</v>
      </c>
      <c r="D300" s="5">
        <v>80.5034825222222</v>
      </c>
      <c r="E300" s="5">
        <v>63.28152</v>
      </c>
      <c r="F300" s="5">
        <v>73.215566047727293</v>
      </c>
      <c r="G300" s="5">
        <v>65.237300000000005</v>
      </c>
      <c r="H300" s="5">
        <v>45.532640000000001</v>
      </c>
      <c r="I300" s="5">
        <v>54.977170000000001</v>
      </c>
      <c r="J300" s="5">
        <v>66.292919999999995</v>
      </c>
      <c r="K300" s="5">
        <v>74.369979999999998</v>
      </c>
      <c r="L300" s="5">
        <v>88.794700000000006</v>
      </c>
      <c r="M300" s="5">
        <v>77.051419999999993</v>
      </c>
      <c r="N300" s="5">
        <v>62.206829999999997</v>
      </c>
      <c r="O300" s="5">
        <v>78.067800000000005</v>
      </c>
      <c r="P300" s="5">
        <v>81.999189999999999</v>
      </c>
      <c r="Q300" s="5">
        <v>101.67197</v>
      </c>
      <c r="R300" s="5">
        <v>63.808459999999997</v>
      </c>
    </row>
    <row r="301" spans="1:18">
      <c r="A301" s="3" t="s">
        <v>4</v>
      </c>
      <c r="B301" s="2">
        <f>(B295-1799.637)/(44624.67-1799.637)</f>
        <v>0.18538400870734406</v>
      </c>
      <c r="C301" s="2">
        <f t="shared" ref="C301:R301" si="126">(C295-1799.637)/(44624.67-1799.637)</f>
        <v>0.13424972438534252</v>
      </c>
      <c r="D301" s="2">
        <f t="shared" si="126"/>
        <v>0.22006695812628121</v>
      </c>
      <c r="E301" s="2">
        <f t="shared" si="126"/>
        <v>2.4946254742801616E-2</v>
      </c>
      <c r="F301" s="2">
        <f t="shared" si="126"/>
        <v>0.11204747345714627</v>
      </c>
      <c r="G301" s="2">
        <f t="shared" si="126"/>
        <v>0.14551985219329613</v>
      </c>
      <c r="H301" s="2">
        <f t="shared" si="126"/>
        <v>-7.879914910270221E-9</v>
      </c>
      <c r="I301" s="2">
        <f t="shared" si="126"/>
        <v>2.1885493223940077E-2</v>
      </c>
      <c r="J301" s="2">
        <f t="shared" si="126"/>
        <v>0.20196174811437895</v>
      </c>
      <c r="K301" s="2">
        <f t="shared" si="126"/>
        <v>0.2282680203996108</v>
      </c>
      <c r="L301" s="2">
        <f t="shared" si="126"/>
        <v>8.5178804416207413E-2</v>
      </c>
      <c r="M301" s="2">
        <f t="shared" si="126"/>
        <v>2.1162638237145374E-2</v>
      </c>
      <c r="N301" s="2">
        <f t="shared" si="126"/>
        <v>8.9293490675648513E-2</v>
      </c>
      <c r="O301" s="2">
        <f t="shared" si="126"/>
        <v>0.10458273410090867</v>
      </c>
      <c r="P301" s="2">
        <f t="shared" si="126"/>
        <v>0.17279044639471983</v>
      </c>
      <c r="Q301" s="2">
        <f t="shared" si="126"/>
        <v>0.17204872326628351</v>
      </c>
      <c r="R301" s="2">
        <f t="shared" si="126"/>
        <v>0.18370161047634154</v>
      </c>
    </row>
    <row r="302" spans="1:18">
      <c r="A302" s="3" t="s">
        <v>5</v>
      </c>
      <c r="B302" s="2">
        <f t="shared" ref="B302:R302" si="127">(B296-5100)/(59190-5100)</f>
        <v>0.32839711591791459</v>
      </c>
      <c r="C302" s="2">
        <f t="shared" si="127"/>
        <v>0.16250693288962839</v>
      </c>
      <c r="D302" s="2">
        <f t="shared" si="127"/>
        <v>0.43050471436494731</v>
      </c>
      <c r="E302" s="2">
        <f t="shared" si="127"/>
        <v>0</v>
      </c>
      <c r="F302" s="2">
        <f t="shared" si="127"/>
        <v>0.17188019966722129</v>
      </c>
      <c r="G302" s="2">
        <f t="shared" si="127"/>
        <v>0.19258643002403403</v>
      </c>
      <c r="H302" s="2">
        <f t="shared" si="127"/>
        <v>2.3479386208171567E-3</v>
      </c>
      <c r="I302" s="2">
        <f t="shared" si="127"/>
        <v>4.9547051210944722E-2</v>
      </c>
      <c r="J302" s="2">
        <f t="shared" si="127"/>
        <v>0.26014050656313553</v>
      </c>
      <c r="K302" s="2">
        <f t="shared" si="127"/>
        <v>0.25866149010907746</v>
      </c>
      <c r="L302" s="2">
        <f t="shared" si="127"/>
        <v>0.12194490663708633</v>
      </c>
      <c r="M302" s="2">
        <f t="shared" si="127"/>
        <v>2.9857644666296913E-2</v>
      </c>
      <c r="N302" s="2">
        <f t="shared" si="127"/>
        <v>0.13838047698280642</v>
      </c>
      <c r="O302" s="2">
        <f t="shared" si="127"/>
        <v>0.16130523202070624</v>
      </c>
      <c r="P302" s="2">
        <f t="shared" si="127"/>
        <v>0.25226474394527637</v>
      </c>
      <c r="Q302" s="2">
        <f t="shared" si="127"/>
        <v>0.35503789979663525</v>
      </c>
      <c r="R302" s="2">
        <f t="shared" si="127"/>
        <v>0.34647809206877428</v>
      </c>
    </row>
    <row r="303" spans="1:18">
      <c r="A303" s="3" t="s">
        <v>6</v>
      </c>
      <c r="B303" s="2">
        <f>(B297-10.815)/(41.838-10.815)</f>
        <v>0.150938439985939</v>
      </c>
      <c r="C303" s="2">
        <f t="shared" ref="C303:R303" si="128">(C297-10.815)/(41.838-10.815)</f>
        <v>1.4004685053537008E-5</v>
      </c>
      <c r="D303" s="2">
        <f t="shared" si="128"/>
        <v>0.36874439227219974</v>
      </c>
      <c r="E303" s="2">
        <f t="shared" si="128"/>
        <v>0.88877816649079577</v>
      </c>
      <c r="F303" s="2">
        <f t="shared" si="128"/>
        <v>6.7382622235508435E-2</v>
      </c>
      <c r="G303" s="2">
        <f t="shared" si="128"/>
        <v>0.20755539012349511</v>
      </c>
      <c r="H303" s="2">
        <f t="shared" si="128"/>
        <v>0.43101498620829243</v>
      </c>
      <c r="I303" s="2">
        <f t="shared" si="128"/>
        <v>0.64453236327233898</v>
      </c>
      <c r="J303" s="2">
        <f t="shared" si="128"/>
        <v>1.0000091239228304</v>
      </c>
      <c r="K303" s="2">
        <f t="shared" si="128"/>
        <v>0.25234656808389128</v>
      </c>
      <c r="L303" s="2">
        <f t="shared" si="128"/>
        <v>0.18362422952629584</v>
      </c>
      <c r="M303" s="2">
        <f t="shared" si="128"/>
        <v>0.14412507381506015</v>
      </c>
      <c r="N303" s="2">
        <f t="shared" si="128"/>
        <v>0.63738366338168284</v>
      </c>
      <c r="O303" s="2">
        <f t="shared" si="128"/>
        <v>0.36894535585905303</v>
      </c>
      <c r="P303" s="2">
        <f t="shared" si="128"/>
        <v>0.27059236659472546</v>
      </c>
      <c r="Q303" s="2">
        <f t="shared" si="128"/>
        <v>2.619816488879248E-2</v>
      </c>
      <c r="R303" s="2">
        <f t="shared" si="128"/>
        <v>0.64594535691474386</v>
      </c>
    </row>
    <row r="304" spans="1:18">
      <c r="A304" s="3" t="s">
        <v>3</v>
      </c>
      <c r="B304" s="2">
        <f t="shared" ref="B304:R304" si="129">(B298-20.258)/(203.365-20.258)</f>
        <v>8.0869886534251124E-3</v>
      </c>
      <c r="C304" s="2">
        <f t="shared" si="129"/>
        <v>0.47299148628785204</v>
      </c>
      <c r="D304" s="2">
        <f t="shared" si="129"/>
        <v>0.22476628604027768</v>
      </c>
      <c r="E304" s="2">
        <f t="shared" si="129"/>
        <v>0.124640519749542</v>
      </c>
      <c r="F304" s="2">
        <f t="shared" si="129"/>
        <v>7.4508958122542865E-2</v>
      </c>
      <c r="G304" s="2">
        <f t="shared" si="129"/>
        <v>0.35908123207176479</v>
      </c>
      <c r="H304" s="2">
        <f t="shared" si="129"/>
        <v>2.932177001403943E-2</v>
      </c>
      <c r="I304" s="2">
        <f t="shared" si="129"/>
        <v>0.27052600776256525</v>
      </c>
      <c r="J304" s="2">
        <f t="shared" si="129"/>
        <v>0.99999801214946937</v>
      </c>
      <c r="K304" s="2">
        <f t="shared" si="129"/>
        <v>0.20247687638765857</v>
      </c>
      <c r="L304" s="2">
        <f t="shared" si="129"/>
        <v>7.2052070900927426E-2</v>
      </c>
      <c r="M304" s="2">
        <f t="shared" si="129"/>
        <v>0.42953541413728086</v>
      </c>
      <c r="N304" s="2">
        <f t="shared" si="129"/>
        <v>0.57324393081567071</v>
      </c>
      <c r="O304" s="2">
        <f t="shared" si="129"/>
        <v>0.3784355660595507</v>
      </c>
      <c r="P304" s="2">
        <f t="shared" si="129"/>
        <v>0.1665596150099323</v>
      </c>
      <c r="Q304" s="2">
        <f t="shared" si="129"/>
        <v>8.7661927876846776E-2</v>
      </c>
      <c r="R304" s="2">
        <f t="shared" si="129"/>
        <v>0.11951082163632183</v>
      </c>
    </row>
    <row r="305" spans="1:18">
      <c r="A305" s="3" t="s">
        <v>7</v>
      </c>
      <c r="B305" s="2">
        <f t="shared" ref="B305:R305" si="130">(B299-61.969)/(81.417-61.969)</f>
        <v>0.61499959867965637</v>
      </c>
      <c r="C305" s="2">
        <f t="shared" si="130"/>
        <v>0.50387148719286501</v>
      </c>
      <c r="D305" s="2">
        <f t="shared" si="130"/>
        <v>0.78353658536585369</v>
      </c>
      <c r="E305" s="2">
        <f t="shared" si="130"/>
        <v>0.4852188700825722</v>
      </c>
      <c r="F305" s="2">
        <f t="shared" si="130"/>
        <v>0.47843781039620381</v>
      </c>
      <c r="G305" s="2">
        <f t="shared" si="130"/>
        <v>0.82301145769581951</v>
      </c>
      <c r="H305" s="2">
        <f t="shared" si="130"/>
        <v>-1.1287134672771865E-5</v>
      </c>
      <c r="I305" s="2">
        <f t="shared" si="130"/>
        <v>0.20465205526181207</v>
      </c>
      <c r="J305" s="2">
        <f t="shared" si="130"/>
        <v>0.53229750880396565</v>
      </c>
      <c r="K305" s="2">
        <f t="shared" si="130"/>
        <v>0.64538581934564732</v>
      </c>
      <c r="L305" s="2">
        <f t="shared" si="130"/>
        <v>0.46080354365863685</v>
      </c>
      <c r="M305" s="2">
        <f t="shared" si="130"/>
        <v>0.25530871567456986</v>
      </c>
      <c r="N305" s="2">
        <f t="shared" si="130"/>
        <v>0.54876794654412975</v>
      </c>
      <c r="O305" s="2">
        <f t="shared" si="130"/>
        <v>0.55942927230588679</v>
      </c>
      <c r="P305" s="2">
        <f t="shared" si="130"/>
        <v>0.41623817359111431</v>
      </c>
      <c r="Q305" s="2">
        <f t="shared" si="130"/>
        <v>0.6634715714701368</v>
      </c>
      <c r="R305" s="2">
        <f t="shared" si="130"/>
        <v>0.58927747288579457</v>
      </c>
    </row>
    <row r="306" spans="1:18">
      <c r="A306" s="4" t="s">
        <v>8</v>
      </c>
      <c r="B306" s="2">
        <f t="shared" ref="B306:R306" si="131">(B300-45.533)/(147.611-45.533)</f>
        <v>0.41114980701032555</v>
      </c>
      <c r="C306" s="2">
        <f t="shared" si="131"/>
        <v>0.47666304198749976</v>
      </c>
      <c r="D306" s="2">
        <f t="shared" si="131"/>
        <v>0.34258589041930881</v>
      </c>
      <c r="E306" s="2">
        <f t="shared" si="131"/>
        <v>0.17387213699327966</v>
      </c>
      <c r="F306" s="2">
        <f t="shared" si="131"/>
        <v>0.27119032551311051</v>
      </c>
      <c r="G306" s="2">
        <f t="shared" si="131"/>
        <v>0.19303179921236707</v>
      </c>
      <c r="H306" s="2">
        <f t="shared" si="131"/>
        <v>-3.5267148651088591E-6</v>
      </c>
      <c r="I306" s="2">
        <f t="shared" si="131"/>
        <v>9.2519152021003553E-2</v>
      </c>
      <c r="J306" s="2">
        <f t="shared" si="131"/>
        <v>0.20337310683986751</v>
      </c>
      <c r="K306" s="2">
        <f t="shared" si="131"/>
        <v>0.28249946119634006</v>
      </c>
      <c r="L306" s="2">
        <f t="shared" si="131"/>
        <v>0.42381022355453685</v>
      </c>
      <c r="M306" s="2">
        <f t="shared" si="131"/>
        <v>0.30876800094045725</v>
      </c>
      <c r="N306" s="2">
        <f t="shared" si="131"/>
        <v>0.16334401144223043</v>
      </c>
      <c r="O306" s="2">
        <f t="shared" si="131"/>
        <v>0.31872489664766168</v>
      </c>
      <c r="P306" s="2">
        <f t="shared" si="131"/>
        <v>0.35723848429632243</v>
      </c>
      <c r="Q306" s="2">
        <f t="shared" si="131"/>
        <v>0.54996150002938937</v>
      </c>
      <c r="R306" s="2">
        <f t="shared" si="131"/>
        <v>0.17903426791277255</v>
      </c>
    </row>
    <row r="307" spans="1:18">
      <c r="A307" s="3" t="s">
        <v>58</v>
      </c>
      <c r="B307" s="2">
        <f t="shared" ref="B307:R307" si="132">(B301+B302+B303+B304+B305+B306)/6</f>
        <v>0.28315932649243414</v>
      </c>
      <c r="C307" s="2">
        <f t="shared" si="132"/>
        <v>0.29171611290470689</v>
      </c>
      <c r="D307" s="2">
        <f t="shared" si="132"/>
        <v>0.39503413776481139</v>
      </c>
      <c r="E307" s="2">
        <f t="shared" si="132"/>
        <v>0.28290932467649854</v>
      </c>
      <c r="F307" s="2">
        <f t="shared" si="132"/>
        <v>0.19590789823195554</v>
      </c>
      <c r="G307" s="2">
        <f t="shared" si="132"/>
        <v>0.32013102688679612</v>
      </c>
      <c r="H307" s="2">
        <f t="shared" si="132"/>
        <v>7.7111645518949362E-2</v>
      </c>
      <c r="I307" s="2">
        <f t="shared" si="132"/>
        <v>0.2139436871254341</v>
      </c>
      <c r="J307" s="2">
        <f t="shared" si="132"/>
        <v>0.53296333439894117</v>
      </c>
      <c r="K307" s="2">
        <f t="shared" si="132"/>
        <v>0.31160637258703761</v>
      </c>
      <c r="L307" s="2">
        <f t="shared" si="132"/>
        <v>0.22456896311561514</v>
      </c>
      <c r="M307" s="2">
        <f t="shared" si="132"/>
        <v>0.19812624791180175</v>
      </c>
      <c r="N307" s="2">
        <f t="shared" si="132"/>
        <v>0.35840225330702813</v>
      </c>
      <c r="O307" s="2">
        <f t="shared" si="132"/>
        <v>0.3152371761656278</v>
      </c>
      <c r="P307" s="2">
        <f t="shared" si="132"/>
        <v>0.27261397163868178</v>
      </c>
      <c r="Q307" s="2">
        <f t="shared" si="132"/>
        <v>0.30906329788801401</v>
      </c>
      <c r="R307" s="2">
        <f t="shared" si="132"/>
        <v>0.34399127031579146</v>
      </c>
    </row>
    <row r="309" spans="1:18">
      <c r="A309" s="1" t="s">
        <v>9</v>
      </c>
      <c r="B309" s="2" t="s">
        <v>28</v>
      </c>
      <c r="C309" s="2" t="s">
        <v>29</v>
      </c>
      <c r="D309" s="2" t="s">
        <v>30</v>
      </c>
      <c r="E309" s="2" t="s">
        <v>31</v>
      </c>
      <c r="F309" s="2" t="s">
        <v>32</v>
      </c>
      <c r="G309" s="2" t="s">
        <v>33</v>
      </c>
      <c r="H309" s="2" t="s">
        <v>34</v>
      </c>
      <c r="I309" s="2" t="s">
        <v>35</v>
      </c>
      <c r="J309" s="2" t="s">
        <v>36</v>
      </c>
      <c r="K309" s="2" t="s">
        <v>37</v>
      </c>
      <c r="L309" s="2" t="s">
        <v>38</v>
      </c>
      <c r="M309" s="2" t="s">
        <v>39</v>
      </c>
      <c r="N309" s="2" t="s">
        <v>40</v>
      </c>
      <c r="O309" s="2" t="s">
        <v>41</v>
      </c>
      <c r="P309" s="2" t="s">
        <v>42</v>
      </c>
      <c r="Q309" s="2" t="s">
        <v>43</v>
      </c>
      <c r="R309" s="2" t="s">
        <v>44</v>
      </c>
    </row>
    <row r="310" spans="1:18">
      <c r="B310" s="2">
        <v>2001</v>
      </c>
      <c r="C310" s="2">
        <v>2001</v>
      </c>
      <c r="D310" s="2">
        <v>2001</v>
      </c>
      <c r="E310" s="2">
        <v>2001</v>
      </c>
      <c r="F310" s="2">
        <v>2001</v>
      </c>
      <c r="G310" s="2">
        <v>2001</v>
      </c>
      <c r="H310" s="2">
        <v>2001</v>
      </c>
      <c r="I310" s="2">
        <v>2001</v>
      </c>
      <c r="J310" s="2">
        <v>2001</v>
      </c>
      <c r="K310" s="2">
        <v>2001</v>
      </c>
      <c r="L310" s="2">
        <v>2001</v>
      </c>
      <c r="M310" s="2">
        <v>2001</v>
      </c>
      <c r="N310" s="2">
        <v>2001</v>
      </c>
      <c r="O310" s="2">
        <v>2001</v>
      </c>
      <c r="P310" s="2">
        <v>2001</v>
      </c>
      <c r="Q310" s="2">
        <v>2001</v>
      </c>
      <c r="R310" s="2">
        <v>2001</v>
      </c>
    </row>
    <row r="311" spans="1:18">
      <c r="A311" s="1" t="s">
        <v>0</v>
      </c>
      <c r="B311" s="3">
        <v>29664.365240369425</v>
      </c>
      <c r="C311" s="3">
        <v>30539.299294148041</v>
      </c>
      <c r="D311" s="3">
        <v>32693.850173748684</v>
      </c>
      <c r="E311" s="3">
        <v>31761.636794255919</v>
      </c>
      <c r="F311" s="3">
        <v>27893.45255010969</v>
      </c>
      <c r="G311" s="3">
        <v>28519.547423136781</v>
      </c>
      <c r="H311" s="3">
        <v>28215.942854198453</v>
      </c>
      <c r="I311" s="3">
        <v>34394.413329366624</v>
      </c>
      <c r="J311" s="3">
        <v>28928.270003384765</v>
      </c>
      <c r="K311" s="3">
        <v>34081.37195306315</v>
      </c>
      <c r="L311" s="3">
        <v>23309.65515950496</v>
      </c>
      <c r="M311" s="3">
        <v>44624.670945877704</v>
      </c>
      <c r="N311" s="3">
        <v>25777.131265840017</v>
      </c>
      <c r="O311" s="3">
        <v>29434.272557518096</v>
      </c>
      <c r="P311" s="3">
        <v>36075.682520138755</v>
      </c>
      <c r="Q311" s="3">
        <v>29978.794152138169</v>
      </c>
      <c r="R311" s="3">
        <v>40946.366674836216</v>
      </c>
    </row>
    <row r="312" spans="1:18">
      <c r="A312" s="1" t="s">
        <v>1</v>
      </c>
      <c r="B312" s="2">
        <v>45349</v>
      </c>
      <c r="C312" s="2">
        <v>51632</v>
      </c>
      <c r="D312" s="2">
        <v>47474</v>
      </c>
      <c r="E312" s="2">
        <v>44325</v>
      </c>
      <c r="F312" s="2">
        <v>45380</v>
      </c>
      <c r="G312" s="2">
        <v>49284</v>
      </c>
      <c r="H312" s="2">
        <v>47152</v>
      </c>
      <c r="I312" s="2">
        <v>48165</v>
      </c>
      <c r="J312" s="2">
        <v>40236</v>
      </c>
      <c r="K312" s="2">
        <v>43378</v>
      </c>
      <c r="L312" s="2">
        <v>35039</v>
      </c>
      <c r="M312" s="2">
        <v>49375</v>
      </c>
      <c r="N312" s="2">
        <v>39052</v>
      </c>
      <c r="O312" s="2">
        <v>42950</v>
      </c>
      <c r="P312" s="2">
        <v>39498</v>
      </c>
      <c r="Q312" s="2">
        <v>44790</v>
      </c>
      <c r="R312" s="2">
        <v>59190</v>
      </c>
    </row>
    <row r="313" spans="1:18">
      <c r="A313" s="1" t="s">
        <v>2</v>
      </c>
      <c r="B313" s="2">
        <v>26.122496680371448</v>
      </c>
      <c r="C313" s="2">
        <v>24.795710596105511</v>
      </c>
      <c r="D313" s="2">
        <v>24.923559268190548</v>
      </c>
      <c r="E313" s="2">
        <v>27.003446362750832</v>
      </c>
      <c r="F313" s="2">
        <v>29.840330825340299</v>
      </c>
      <c r="G313" s="2">
        <v>20.692226703506542</v>
      </c>
      <c r="H313" s="2">
        <v>22.101133279636137</v>
      </c>
      <c r="I313" s="2">
        <v>38.033061682315065</v>
      </c>
      <c r="J313" s="2">
        <v>24.943605215142842</v>
      </c>
      <c r="K313" s="2">
        <v>27.271285660363031</v>
      </c>
      <c r="L313" s="2">
        <v>24.428637766313084</v>
      </c>
      <c r="M313" s="2">
        <v>35.939597380939524</v>
      </c>
      <c r="N313" s="2">
        <v>23.837406690505691</v>
      </c>
      <c r="O313" s="2">
        <v>24.927493773470577</v>
      </c>
      <c r="P313" s="2">
        <v>27.850330517156923</v>
      </c>
      <c r="Q313" s="2">
        <v>15.223006006836378</v>
      </c>
      <c r="R313" s="2">
        <v>15.364621503043804</v>
      </c>
    </row>
    <row r="314" spans="1:18">
      <c r="A314" s="1" t="s">
        <v>3</v>
      </c>
      <c r="B314" s="2">
        <v>93.962178211528993</v>
      </c>
      <c r="C314" s="2">
        <v>152.05713559889608</v>
      </c>
      <c r="D314" s="2">
        <v>81.341151285864882</v>
      </c>
      <c r="E314" s="2">
        <v>87.74785472716232</v>
      </c>
      <c r="F314" s="2">
        <v>73.646688874849232</v>
      </c>
      <c r="G314" s="2">
        <v>55.583919638041678</v>
      </c>
      <c r="H314" s="2">
        <v>52.332837506417441</v>
      </c>
      <c r="I314" s="2">
        <v>182.87890952778406</v>
      </c>
      <c r="J314" s="2">
        <v>20.257892896195617</v>
      </c>
      <c r="K314" s="2">
        <v>128.76503972251197</v>
      </c>
      <c r="L314" s="2">
        <v>66.851351899255519</v>
      </c>
      <c r="M314" s="2">
        <v>74.586810871586522</v>
      </c>
      <c r="N314" s="2">
        <v>59.593884158807285</v>
      </c>
      <c r="O314" s="2">
        <v>85.898002017527546</v>
      </c>
      <c r="P314" s="2">
        <v>84.678714993872276</v>
      </c>
      <c r="Q314" s="2">
        <v>56.845204826648946</v>
      </c>
      <c r="R314" s="2">
        <v>23.709436285287133</v>
      </c>
    </row>
    <row r="315" spans="1:18">
      <c r="A315" s="6" t="s">
        <v>27</v>
      </c>
      <c r="B315" s="2">
        <v>78.526829268292687</v>
      </c>
      <c r="C315" s="2">
        <v>78.473170731707327</v>
      </c>
      <c r="D315" s="2">
        <v>79.487804878048777</v>
      </c>
      <c r="E315" s="2">
        <v>76.792682926829286</v>
      </c>
      <c r="F315" s="2">
        <v>77.965853658536588</v>
      </c>
      <c r="G315" s="2">
        <v>79.058536585365871</v>
      </c>
      <c r="H315" s="2">
        <v>79.82926829268294</v>
      </c>
      <c r="I315" s="2">
        <v>77.139756097560991</v>
      </c>
      <c r="J315" s="2">
        <v>81.417073170731712</v>
      </c>
      <c r="K315" s="2">
        <v>78.190243902439036</v>
      </c>
      <c r="L315" s="2">
        <v>78.692682926829278</v>
      </c>
      <c r="M315" s="2">
        <v>78.785365853658533</v>
      </c>
      <c r="N315" s="2">
        <v>79.368292682926835</v>
      </c>
      <c r="O315" s="2">
        <v>79.795121951219514</v>
      </c>
      <c r="P315" s="2">
        <v>80.180487804878055</v>
      </c>
      <c r="Q315" s="2">
        <v>77.992682926829275</v>
      </c>
      <c r="R315" s="2">
        <v>76.736585365853671</v>
      </c>
    </row>
    <row r="316" spans="1:18">
      <c r="A316" s="6" t="s">
        <v>8</v>
      </c>
      <c r="B316" s="2">
        <v>97.782089999999997</v>
      </c>
      <c r="C316" s="2">
        <v>155.03772000000001</v>
      </c>
      <c r="D316" s="2">
        <v>106.074139359848</v>
      </c>
      <c r="E316" s="2">
        <v>130.71435</v>
      </c>
      <c r="F316" s="2">
        <v>127.40034</v>
      </c>
      <c r="G316" s="2">
        <v>107.32716000000001</v>
      </c>
      <c r="H316" s="2">
        <v>96.22457</v>
      </c>
      <c r="I316" s="2">
        <v>103.23643</v>
      </c>
      <c r="J316" s="2">
        <v>102.53779</v>
      </c>
      <c r="K316" s="2">
        <v>124.24473</v>
      </c>
      <c r="L316" s="2">
        <v>111.60848</v>
      </c>
      <c r="M316" s="2">
        <v>113.84088</v>
      </c>
      <c r="N316" s="2">
        <v>112.96081</v>
      </c>
      <c r="O316" s="2">
        <v>147.61139</v>
      </c>
      <c r="P316" s="2">
        <v>95.111930000000001</v>
      </c>
      <c r="Q316" s="2">
        <v>101.55865</v>
      </c>
      <c r="R316" s="2">
        <v>93.738280000000003</v>
      </c>
    </row>
    <row r="317" spans="1:18">
      <c r="A317" s="3" t="s">
        <v>4</v>
      </c>
      <c r="B317" s="2">
        <f t="shared" ref="B317:R317" si="133">(B311-1799.637)/(44624.67-1799.637)</f>
        <v>0.65066448963085277</v>
      </c>
      <c r="C317" s="2">
        <f t="shared" si="133"/>
        <v>0.67109492464718112</v>
      </c>
      <c r="D317" s="2">
        <f t="shared" si="133"/>
        <v>0.7214054726764294</v>
      </c>
      <c r="E317" s="2">
        <f t="shared" si="133"/>
        <v>0.69963751795021201</v>
      </c>
      <c r="F317" s="2">
        <f t="shared" si="133"/>
        <v>0.60931221115719147</v>
      </c>
      <c r="G317" s="2">
        <f t="shared" si="133"/>
        <v>0.62393204514604306</v>
      </c>
      <c r="H317" s="2">
        <f t="shared" si="133"/>
        <v>0.61684262693267411</v>
      </c>
      <c r="I317" s="2">
        <f t="shared" si="133"/>
        <v>0.76111503123340563</v>
      </c>
      <c r="J317" s="2">
        <f t="shared" si="133"/>
        <v>0.63347605601108981</v>
      </c>
      <c r="K317" s="2">
        <f t="shared" si="133"/>
        <v>0.75380525574990576</v>
      </c>
      <c r="L317" s="2">
        <f t="shared" si="133"/>
        <v>0.50227674452708448</v>
      </c>
      <c r="M317" s="2">
        <f t="shared" si="133"/>
        <v>1.000000022087028</v>
      </c>
      <c r="N317" s="2">
        <f t="shared" si="133"/>
        <v>0.5598943558511682</v>
      </c>
      <c r="O317" s="2">
        <f t="shared" si="133"/>
        <v>0.64529163486034202</v>
      </c>
      <c r="P317" s="2">
        <f t="shared" si="133"/>
        <v>0.8003740597266733</v>
      </c>
      <c r="Q317" s="2">
        <f t="shared" si="133"/>
        <v>0.65800666521700457</v>
      </c>
      <c r="R317" s="2">
        <f t="shared" si="133"/>
        <v>0.91410856997672874</v>
      </c>
    </row>
    <row r="318" spans="1:18">
      <c r="A318" s="3" t="s">
        <v>5</v>
      </c>
      <c r="B318" s="2">
        <f>(B312-5100)/(59190-5100)</f>
        <v>0.74411166574228138</v>
      </c>
      <c r="C318" s="2">
        <f t="shared" ref="C318:R318" si="134">(C312-5100)/(59190-5100)</f>
        <v>0.86026992050286555</v>
      </c>
      <c r="D318" s="2">
        <f t="shared" si="134"/>
        <v>0.78339804030319837</v>
      </c>
      <c r="E318" s="2">
        <f t="shared" si="134"/>
        <v>0.72518025513033835</v>
      </c>
      <c r="F318" s="2">
        <f t="shared" si="134"/>
        <v>0.74468478461822885</v>
      </c>
      <c r="G318" s="2">
        <f t="shared" si="134"/>
        <v>0.81686078757626179</v>
      </c>
      <c r="H318" s="2">
        <f t="shared" si="134"/>
        <v>0.77744499907561471</v>
      </c>
      <c r="I318" s="2">
        <f t="shared" si="134"/>
        <v>0.79617304492512475</v>
      </c>
      <c r="J318" s="2">
        <f t="shared" si="134"/>
        <v>0.6495840266222962</v>
      </c>
      <c r="K318" s="2">
        <f t="shared" si="134"/>
        <v>0.70767239785542613</v>
      </c>
      <c r="L318" s="2">
        <f t="shared" si="134"/>
        <v>0.55350342022554999</v>
      </c>
      <c r="M318" s="2">
        <f t="shared" si="134"/>
        <v>0.8185431687927528</v>
      </c>
      <c r="N318" s="2">
        <f t="shared" si="134"/>
        <v>0.62769458310223702</v>
      </c>
      <c r="O318" s="2">
        <f t="shared" si="134"/>
        <v>0.69975965982621557</v>
      </c>
      <c r="P318" s="2">
        <f t="shared" si="134"/>
        <v>0.63594009983361066</v>
      </c>
      <c r="Q318" s="2">
        <f t="shared" si="134"/>
        <v>0.73377703826955076</v>
      </c>
      <c r="R318" s="2">
        <f t="shared" si="134"/>
        <v>1</v>
      </c>
    </row>
    <row r="319" spans="1:18">
      <c r="A319" s="3" t="s">
        <v>6</v>
      </c>
      <c r="B319" s="2">
        <f t="shared" ref="B319:R319" si="135">(B313-10.815)/(41.838-10.815)</f>
        <v>0.49342412662771001</v>
      </c>
      <c r="C319" s="2">
        <f t="shared" si="135"/>
        <v>0.45065630648568838</v>
      </c>
      <c r="D319" s="2">
        <f t="shared" si="135"/>
        <v>0.45477739961288549</v>
      </c>
      <c r="E319" s="2">
        <f t="shared" si="135"/>
        <v>0.52182078982531765</v>
      </c>
      <c r="F319" s="2">
        <f t="shared" si="135"/>
        <v>0.61326534588338644</v>
      </c>
      <c r="G319" s="2">
        <f t="shared" si="135"/>
        <v>0.31838399585812271</v>
      </c>
      <c r="H319" s="2">
        <f t="shared" si="135"/>
        <v>0.36379890015911215</v>
      </c>
      <c r="I319" s="2">
        <f t="shared" si="135"/>
        <v>0.87735105187490137</v>
      </c>
      <c r="J319" s="2">
        <f t="shared" si="135"/>
        <v>0.45542356365093128</v>
      </c>
      <c r="K319" s="2">
        <f t="shared" si="135"/>
        <v>0.53045436161438375</v>
      </c>
      <c r="L319" s="2">
        <f t="shared" si="135"/>
        <v>0.43882402624868916</v>
      </c>
      <c r="M319" s="2">
        <f t="shared" si="135"/>
        <v>0.80987001195691988</v>
      </c>
      <c r="N319" s="2">
        <f t="shared" si="135"/>
        <v>0.41976619574205237</v>
      </c>
      <c r="O319" s="2">
        <f t="shared" si="135"/>
        <v>0.45490422504176176</v>
      </c>
      <c r="P319" s="2">
        <f t="shared" si="135"/>
        <v>0.54911937972333169</v>
      </c>
      <c r="Q319" s="2">
        <f t="shared" si="135"/>
        <v>0.14208832178823383</v>
      </c>
      <c r="R319" s="2">
        <f t="shared" si="135"/>
        <v>0.1466531767734843</v>
      </c>
    </row>
    <row r="320" spans="1:18">
      <c r="A320" s="3" t="s">
        <v>3</v>
      </c>
      <c r="B320" s="2">
        <f>(B314-20.258)/(203.365-20.258)</f>
        <v>0.40251971913432583</v>
      </c>
      <c r="C320" s="2">
        <f t="shared" ref="C320:R320" si="136">(C314-20.258)/(203.365-20.258)</f>
        <v>0.71979299316190026</v>
      </c>
      <c r="D320" s="2">
        <f t="shared" si="136"/>
        <v>0.3335926604983146</v>
      </c>
      <c r="E320" s="2">
        <f t="shared" si="136"/>
        <v>0.36858151095896019</v>
      </c>
      <c r="F320" s="2">
        <f t="shared" si="136"/>
        <v>0.29157098786419544</v>
      </c>
      <c r="G320" s="2">
        <f t="shared" si="136"/>
        <v>0.19292500908234902</v>
      </c>
      <c r="H320" s="2">
        <f t="shared" si="136"/>
        <v>0.17516991434744406</v>
      </c>
      <c r="I320" s="2">
        <f t="shared" si="136"/>
        <v>0.88811956685317361</v>
      </c>
      <c r="J320" s="2">
        <f t="shared" si="136"/>
        <v>-5.8492468546716511E-7</v>
      </c>
      <c r="K320" s="2">
        <f t="shared" si="136"/>
        <v>0.5925881573206484</v>
      </c>
      <c r="L320" s="2">
        <f t="shared" si="136"/>
        <v>0.25445969787750072</v>
      </c>
      <c r="M320" s="2">
        <f t="shared" si="136"/>
        <v>0.29670526452613238</v>
      </c>
      <c r="N320" s="2">
        <f t="shared" si="136"/>
        <v>0.21482457884628817</v>
      </c>
      <c r="O320" s="2">
        <f t="shared" si="136"/>
        <v>0.35847893317856527</v>
      </c>
      <c r="P320" s="2">
        <f t="shared" si="136"/>
        <v>0.35182005599934618</v>
      </c>
      <c r="Q320" s="2">
        <f t="shared" si="136"/>
        <v>0.19981325032166408</v>
      </c>
      <c r="R320" s="2">
        <f t="shared" si="136"/>
        <v>1.8849286402415712E-2</v>
      </c>
    </row>
    <row r="321" spans="1:18">
      <c r="A321" s="3" t="s">
        <v>7</v>
      </c>
      <c r="B321" s="2">
        <f>(B315-61.969)/(81.417-61.969)</f>
        <v>0.85138982251607798</v>
      </c>
      <c r="C321" s="2">
        <f t="shared" ref="C321:R321" si="137">(C315-61.969)/(81.417-61.969)</f>
        <v>0.84863074515154902</v>
      </c>
      <c r="D321" s="2">
        <f t="shared" si="137"/>
        <v>0.90080238986264782</v>
      </c>
      <c r="E321" s="2">
        <f t="shared" si="137"/>
        <v>0.76222145859879087</v>
      </c>
      <c r="F321" s="2">
        <f t="shared" si="137"/>
        <v>0.82254492279599889</v>
      </c>
      <c r="G321" s="2">
        <f t="shared" si="137"/>
        <v>0.87872977094641458</v>
      </c>
      <c r="H321" s="2">
        <f t="shared" si="137"/>
        <v>0.91836015490965339</v>
      </c>
      <c r="I321" s="2">
        <f t="shared" si="137"/>
        <v>0.78006767264299615</v>
      </c>
      <c r="J321" s="2">
        <f t="shared" si="137"/>
        <v>1.0000037623782245</v>
      </c>
      <c r="K321" s="2">
        <f t="shared" si="137"/>
        <v>0.83408288268403097</v>
      </c>
      <c r="L321" s="2">
        <f t="shared" si="137"/>
        <v>0.85991787982462342</v>
      </c>
      <c r="M321" s="2">
        <f t="shared" si="137"/>
        <v>0.86468355890880977</v>
      </c>
      <c r="N321" s="2">
        <f t="shared" si="137"/>
        <v>0.89465717209619677</v>
      </c>
      <c r="O321" s="2">
        <f t="shared" si="137"/>
        <v>0.91660437840495235</v>
      </c>
      <c r="P321" s="2">
        <f t="shared" si="137"/>
        <v>0.93641957038657209</v>
      </c>
      <c r="Q321" s="2">
        <f t="shared" si="137"/>
        <v>0.8239244614782637</v>
      </c>
      <c r="R321" s="2">
        <f t="shared" si="137"/>
        <v>0.75933696862678268</v>
      </c>
    </row>
    <row r="322" spans="1:18">
      <c r="A322" s="4" t="s">
        <v>8</v>
      </c>
      <c r="B322" s="2">
        <f>(B316-45.533)/(147.611-45.533)</f>
        <v>0.51185456219753522</v>
      </c>
      <c r="C322" s="2">
        <f t="shared" ref="C322:R322" si="138">(C316-45.533)/(147.611-45.533)</f>
        <v>1.0727553439526638</v>
      </c>
      <c r="D322" s="2">
        <f t="shared" si="138"/>
        <v>0.59308704480738272</v>
      </c>
      <c r="E322" s="2">
        <f t="shared" si="138"/>
        <v>0.83447314798487437</v>
      </c>
      <c r="F322" s="2">
        <f t="shared" si="138"/>
        <v>0.8020076804012618</v>
      </c>
      <c r="G322" s="2">
        <f t="shared" si="138"/>
        <v>0.60536217402378589</v>
      </c>
      <c r="H322" s="2">
        <f t="shared" si="138"/>
        <v>0.49659642626227007</v>
      </c>
      <c r="I322" s="2">
        <f t="shared" si="138"/>
        <v>0.56528762319010961</v>
      </c>
      <c r="J322" s="2">
        <f t="shared" si="138"/>
        <v>0.55844344520856604</v>
      </c>
      <c r="K322" s="2">
        <f t="shared" si="138"/>
        <v>0.77109396735829472</v>
      </c>
      <c r="L322" s="2">
        <f t="shared" si="138"/>
        <v>0.64730382648562867</v>
      </c>
      <c r="M322" s="2">
        <f t="shared" si="138"/>
        <v>0.66917337722134063</v>
      </c>
      <c r="N322" s="2">
        <f t="shared" si="138"/>
        <v>0.66055183291208686</v>
      </c>
      <c r="O322" s="2">
        <f t="shared" si="138"/>
        <v>1.0000038206077706</v>
      </c>
      <c r="P322" s="2">
        <f t="shared" si="138"/>
        <v>0.4856965261858579</v>
      </c>
      <c r="Q322" s="2">
        <f t="shared" si="138"/>
        <v>0.54885136856129635</v>
      </c>
      <c r="R322" s="2">
        <f t="shared" si="138"/>
        <v>0.47223965986794419</v>
      </c>
    </row>
    <row r="323" spans="1:18">
      <c r="A323" s="4" t="s">
        <v>58</v>
      </c>
      <c r="B323" s="2">
        <f>(B317+B318+B319+B320+B321+B322)/6</f>
        <v>0.60899406430813052</v>
      </c>
      <c r="C323" s="2">
        <f t="shared" ref="C323:R323" si="139">(C317+C318+C319+C320+C321+C322)/6</f>
        <v>0.77053337231697461</v>
      </c>
      <c r="D323" s="2">
        <f t="shared" si="139"/>
        <v>0.631177167960143</v>
      </c>
      <c r="E323" s="2">
        <f t="shared" si="139"/>
        <v>0.65198578007474894</v>
      </c>
      <c r="F323" s="2">
        <f t="shared" si="139"/>
        <v>0.64723098878671048</v>
      </c>
      <c r="G323" s="2">
        <f t="shared" si="139"/>
        <v>0.57269896377216289</v>
      </c>
      <c r="H323" s="2">
        <f t="shared" si="139"/>
        <v>0.55803550361446141</v>
      </c>
      <c r="I323" s="2">
        <f t="shared" si="139"/>
        <v>0.77801899845328526</v>
      </c>
      <c r="J323" s="2">
        <f t="shared" si="139"/>
        <v>0.54948837815773699</v>
      </c>
      <c r="K323" s="2">
        <f t="shared" si="139"/>
        <v>0.69828283709711492</v>
      </c>
      <c r="L323" s="2">
        <f t="shared" si="139"/>
        <v>0.54271426586484606</v>
      </c>
      <c r="M323" s="2">
        <f t="shared" si="139"/>
        <v>0.74316256724883056</v>
      </c>
      <c r="N323" s="2">
        <f t="shared" si="139"/>
        <v>0.56289811975833814</v>
      </c>
      <c r="O323" s="2">
        <f t="shared" si="139"/>
        <v>0.67917377531993461</v>
      </c>
      <c r="P323" s="2">
        <f t="shared" si="139"/>
        <v>0.62656161530923193</v>
      </c>
      <c r="Q323" s="2">
        <f t="shared" si="139"/>
        <v>0.51774351760600223</v>
      </c>
      <c r="R323" s="2">
        <f t="shared" si="139"/>
        <v>0.55186461027455935</v>
      </c>
    </row>
    <row r="325" spans="1:18">
      <c r="A325" s="1" t="s">
        <v>9</v>
      </c>
      <c r="B325" s="2" t="s">
        <v>10</v>
      </c>
      <c r="C325" s="2" t="s">
        <v>11</v>
      </c>
      <c r="D325" s="2" t="s">
        <v>12</v>
      </c>
      <c r="E325" s="2" t="s">
        <v>13</v>
      </c>
      <c r="F325" s="2" t="s">
        <v>14</v>
      </c>
      <c r="G325" s="2" t="s">
        <v>15</v>
      </c>
      <c r="H325" s="2" t="s">
        <v>16</v>
      </c>
      <c r="I325" s="2" t="s">
        <v>17</v>
      </c>
      <c r="J325" s="2" t="s">
        <v>18</v>
      </c>
      <c r="K325" s="2" t="s">
        <v>19</v>
      </c>
      <c r="L325" s="2" t="s">
        <v>20</v>
      </c>
      <c r="M325" s="2" t="s">
        <v>21</v>
      </c>
      <c r="N325" s="2" t="s">
        <v>22</v>
      </c>
      <c r="O325" s="2" t="s">
        <v>23</v>
      </c>
      <c r="P325" s="2" t="s">
        <v>24</v>
      </c>
      <c r="Q325" s="2" t="s">
        <v>25</v>
      </c>
      <c r="R325" s="2" t="s">
        <v>26</v>
      </c>
    </row>
    <row r="326" spans="1:18">
      <c r="B326" s="2">
        <v>2000</v>
      </c>
      <c r="C326" s="2">
        <v>2000</v>
      </c>
      <c r="D326" s="2">
        <v>2000</v>
      </c>
      <c r="E326" s="2">
        <v>2000</v>
      </c>
      <c r="F326" s="2">
        <v>2000</v>
      </c>
      <c r="G326" s="2">
        <v>2000</v>
      </c>
      <c r="H326" s="2">
        <v>2000</v>
      </c>
      <c r="I326" s="2">
        <v>2000</v>
      </c>
      <c r="J326" s="2">
        <v>2000</v>
      </c>
      <c r="K326" s="2">
        <v>2000</v>
      </c>
      <c r="L326" s="2">
        <v>2000</v>
      </c>
      <c r="M326" s="2">
        <v>2000</v>
      </c>
      <c r="N326" s="2">
        <v>2000</v>
      </c>
      <c r="O326" s="2">
        <v>2000</v>
      </c>
      <c r="P326" s="2">
        <v>2000</v>
      </c>
      <c r="Q326" s="2">
        <v>2000</v>
      </c>
      <c r="R326" s="2">
        <v>2000</v>
      </c>
    </row>
    <row r="327" spans="1:18">
      <c r="A327" s="1" t="s">
        <v>0</v>
      </c>
      <c r="B327" s="3">
        <v>10290.108190897599</v>
      </c>
      <c r="C327" s="3">
        <v>7111.7024895557743</v>
      </c>
      <c r="D327" s="3">
        <v>10990.313426949457</v>
      </c>
      <c r="E327" s="3">
        <v>2667.4693830072824</v>
      </c>
      <c r="F327" s="3">
        <v>6596.6451435160661</v>
      </c>
      <c r="G327" s="3">
        <v>8115.6527759571291</v>
      </c>
      <c r="H327" s="3">
        <v>1745.2143115031165</v>
      </c>
      <c r="I327" s="3">
        <v>2678.9877749043421</v>
      </c>
      <c r="J327" s="3">
        <v>10618.97440214911</v>
      </c>
      <c r="K327" s="3">
        <v>11810.127245144795</v>
      </c>
      <c r="L327" s="3">
        <v>5513.5717792593186</v>
      </c>
      <c r="M327" s="3">
        <v>2685.5625283785243</v>
      </c>
      <c r="N327" s="3">
        <v>5568.411849519719</v>
      </c>
      <c r="O327" s="3">
        <v>6053.5226194538809</v>
      </c>
      <c r="P327" s="3">
        <v>9898.1545659235453</v>
      </c>
      <c r="Q327" s="3">
        <v>9551.1329324798517</v>
      </c>
      <c r="R327" s="3">
        <v>9526.6358186621273</v>
      </c>
    </row>
    <row r="328" spans="1:18">
      <c r="A328" s="1" t="s">
        <v>1</v>
      </c>
      <c r="B328" s="2">
        <v>24303</v>
      </c>
      <c r="C328" s="2">
        <v>13235</v>
      </c>
      <c r="D328" s="2">
        <v>28753</v>
      </c>
      <c r="E328" s="2">
        <v>4660</v>
      </c>
      <c r="F328" s="2">
        <v>14781</v>
      </c>
      <c r="G328" s="2">
        <v>15612</v>
      </c>
      <c r="H328" s="2">
        <v>5063</v>
      </c>
      <c r="I328" s="2">
        <v>7588</v>
      </c>
      <c r="J328" s="2">
        <v>19253</v>
      </c>
      <c r="K328" s="2">
        <v>19108</v>
      </c>
      <c r="L328" s="2">
        <v>11598</v>
      </c>
      <c r="M328" s="2">
        <v>6931</v>
      </c>
      <c r="N328" s="2">
        <v>12638</v>
      </c>
      <c r="O328" s="2">
        <v>13482</v>
      </c>
      <c r="P328" s="2">
        <v>19826</v>
      </c>
      <c r="Q328" s="2">
        <v>25358</v>
      </c>
      <c r="R328" s="2">
        <v>23653</v>
      </c>
    </row>
    <row r="329" spans="1:18">
      <c r="A329" s="1" t="s">
        <v>2</v>
      </c>
      <c r="B329" s="2">
        <v>15.558847301056932</v>
      </c>
      <c r="C329" s="2">
        <v>12.642479595717454</v>
      </c>
      <c r="D329" s="2">
        <v>23.448495231252139</v>
      </c>
      <c r="E329" s="2">
        <v>37.527823492346194</v>
      </c>
      <c r="F329" s="2">
        <v>14.058820990644078</v>
      </c>
      <c r="G329" s="2">
        <v>19.768464052013663</v>
      </c>
      <c r="H329" s="2">
        <v>22.638785166511894</v>
      </c>
      <c r="I329" s="2">
        <v>32.763438033878842</v>
      </c>
      <c r="J329" s="2">
        <v>46.080398203147574</v>
      </c>
      <c r="K329" s="2">
        <v>21.873842065586999</v>
      </c>
      <c r="L329" s="2">
        <v>18.007848553177084</v>
      </c>
      <c r="M329" s="2">
        <v>16.376326278288392</v>
      </c>
      <c r="N329" s="2">
        <v>31.469178388987739</v>
      </c>
      <c r="O329" s="2">
        <v>22.720107089225156</v>
      </c>
      <c r="P329" s="2">
        <v>17.770398221637347</v>
      </c>
      <c r="Q329" s="2">
        <v>11.139480627028592</v>
      </c>
      <c r="R329" s="2">
        <v>35.801609758157646</v>
      </c>
    </row>
    <row r="330" spans="1:18">
      <c r="A330" s="1" t="s">
        <v>3</v>
      </c>
      <c r="B330" s="2">
        <v>22.404736106931576</v>
      </c>
      <c r="C330" s="2">
        <v>106.26210551902903</v>
      </c>
      <c r="D330" s="2">
        <v>57.865197707602732</v>
      </c>
      <c r="E330" s="2">
        <v>44.243625783837423</v>
      </c>
      <c r="F330" s="2">
        <v>32.66708546930672</v>
      </c>
      <c r="G330" s="2">
        <v>94.389121741663189</v>
      </c>
      <c r="H330" s="2">
        <v>26.544087494438685</v>
      </c>
      <c r="I330" s="2">
        <v>71.436875989327447</v>
      </c>
      <c r="J330" s="2">
        <v>220.40678898207355</v>
      </c>
      <c r="K330" s="2">
        <v>63.87227989132068</v>
      </c>
      <c r="L330" s="2">
        <v>34.157428963590455</v>
      </c>
      <c r="M330" s="2">
        <v>104.72985977960182</v>
      </c>
      <c r="N330" s="2">
        <v>124.92230430628852</v>
      </c>
      <c r="O330" s="2">
        <v>82.455645627076734</v>
      </c>
      <c r="P330" s="2">
        <v>43.19214554935823</v>
      </c>
      <c r="Q330" s="2">
        <v>36.713738130989476</v>
      </c>
      <c r="R330" s="2">
        <v>47.857221552980796</v>
      </c>
    </row>
    <row r="331" spans="1:18">
      <c r="A331" s="6" t="s">
        <v>27</v>
      </c>
      <c r="B331" s="5">
        <v>73.717975609756095</v>
      </c>
      <c r="C331" s="5">
        <v>71.663414634146349</v>
      </c>
      <c r="D331" s="5">
        <v>76.821731707317085</v>
      </c>
      <c r="E331" s="5">
        <v>71.241707317073178</v>
      </c>
      <c r="F331" s="5">
        <v>71.000975609756111</v>
      </c>
      <c r="G331" s="5">
        <v>77.804073170731712</v>
      </c>
      <c r="H331" s="5">
        <v>61.613878048780499</v>
      </c>
      <c r="I331" s="5">
        <v>65.646365853658551</v>
      </c>
      <c r="J331" s="5">
        <v>72.142487804878058</v>
      </c>
      <c r="K331" s="5">
        <v>74.274243902439039</v>
      </c>
      <c r="L331" s="5">
        <v>70.476268292682946</v>
      </c>
      <c r="M331" s="5">
        <v>66.795146341463422</v>
      </c>
      <c r="N331" s="5">
        <v>72.515219512195131</v>
      </c>
      <c r="O331" s="5">
        <v>72.599999999999994</v>
      </c>
      <c r="P331" s="5">
        <v>69.446878048780505</v>
      </c>
      <c r="Q331" s="5">
        <v>74.886829268292686</v>
      </c>
      <c r="R331" s="5">
        <v>73.269512195121962</v>
      </c>
    </row>
    <row r="332" spans="1:18">
      <c r="A332" s="6" t="s">
        <v>48</v>
      </c>
      <c r="B332" s="5">
        <v>86.564310000000006</v>
      </c>
      <c r="C332" s="5">
        <v>93.012749999999997</v>
      </c>
      <c r="D332" s="5">
        <v>82.656630000000007</v>
      </c>
      <c r="E332" s="5">
        <v>62.099969999999999</v>
      </c>
      <c r="F332" s="5">
        <v>71.81156</v>
      </c>
      <c r="G332" s="5">
        <v>60.735639999999997</v>
      </c>
      <c r="H332" s="5">
        <v>45.310189999999999</v>
      </c>
      <c r="I332" s="5">
        <v>52.812959999999997</v>
      </c>
      <c r="J332" s="5">
        <v>66.161439999999999</v>
      </c>
      <c r="K332" s="5">
        <v>72.661699999999996</v>
      </c>
      <c r="L332" s="5">
        <v>85.753029999999995</v>
      </c>
      <c r="M332" s="5">
        <v>78.006889047618998</v>
      </c>
      <c r="N332" s="5">
        <v>60.100362153846199</v>
      </c>
      <c r="O332" s="5">
        <v>76.076120000000003</v>
      </c>
      <c r="P332" s="5">
        <v>71.434049999999999</v>
      </c>
      <c r="Q332" s="5">
        <v>98.312200000000004</v>
      </c>
      <c r="R332" s="5">
        <v>59.847430000000003</v>
      </c>
    </row>
    <row r="333" spans="1:18">
      <c r="A333" s="3" t="s">
        <v>4</v>
      </c>
      <c r="B333" s="2">
        <f>(B327-1745.214)/(43975.92-1745.214)</f>
        <v>0.20233841676474931</v>
      </c>
      <c r="C333" s="2">
        <f t="shared" ref="C333:R333" si="140">(C327-1745.214)/(43975.92-1745.214)</f>
        <v>0.12707550969088166</v>
      </c>
      <c r="D333" s="2">
        <f t="shared" si="140"/>
        <v>0.21891889344567095</v>
      </c>
      <c r="E333" s="2">
        <f t="shared" si="140"/>
        <v>2.1838502605362138E-2</v>
      </c>
      <c r="F333" s="2">
        <f t="shared" si="140"/>
        <v>0.11487923369114564</v>
      </c>
      <c r="G333" s="2">
        <f t="shared" si="140"/>
        <v>0.15084850288690721</v>
      </c>
      <c r="H333" s="2">
        <f t="shared" si="140"/>
        <v>7.3762232761032188E-9</v>
      </c>
      <c r="I333" s="2">
        <f t="shared" si="140"/>
        <v>2.2111251820046349E-2</v>
      </c>
      <c r="J333" s="2">
        <f t="shared" si="140"/>
        <v>0.21012578861809958</v>
      </c>
      <c r="K333" s="2">
        <f t="shared" si="140"/>
        <v>0.23833163587520406</v>
      </c>
      <c r="L333" s="2">
        <f t="shared" si="140"/>
        <v>8.9232649325334951E-2</v>
      </c>
      <c r="M333" s="2">
        <f t="shared" si="140"/>
        <v>2.2266938383140561E-2</v>
      </c>
      <c r="N333" s="2">
        <f t="shared" si="140"/>
        <v>9.0531232168359191E-2</v>
      </c>
      <c r="O333" s="2">
        <f t="shared" si="140"/>
        <v>0.10201838963937475</v>
      </c>
      <c r="P333" s="2">
        <f t="shared" si="140"/>
        <v>0.19305716948998072</v>
      </c>
      <c r="Q333" s="2">
        <f t="shared" si="140"/>
        <v>0.18483988717782393</v>
      </c>
      <c r="R333" s="2">
        <f t="shared" si="140"/>
        <v>0.18425980893291549</v>
      </c>
    </row>
    <row r="334" spans="1:18">
      <c r="A334" s="3" t="s">
        <v>5</v>
      </c>
      <c r="B334" s="2">
        <f>(B328-4660)/(58601-4660)</f>
        <v>0.36415713464711447</v>
      </c>
      <c r="C334" s="2">
        <f t="shared" ref="C334:R334" si="141">(C328-4660)/(58601-4660)</f>
        <v>0.15896998572514415</v>
      </c>
      <c r="D334" s="2">
        <f t="shared" si="141"/>
        <v>0.44665467825957988</v>
      </c>
      <c r="E334" s="2">
        <f t="shared" si="141"/>
        <v>0</v>
      </c>
      <c r="F334" s="2">
        <f t="shared" si="141"/>
        <v>0.18763093009028384</v>
      </c>
      <c r="G334" s="2">
        <f t="shared" si="141"/>
        <v>0.20303665115589256</v>
      </c>
      <c r="H334" s="2">
        <f t="shared" si="141"/>
        <v>7.4711258597356372E-3</v>
      </c>
      <c r="I334" s="2">
        <f t="shared" si="141"/>
        <v>5.428152981961773E-2</v>
      </c>
      <c r="J334" s="2">
        <f t="shared" si="141"/>
        <v>0.27053632672735023</v>
      </c>
      <c r="K334" s="2">
        <f t="shared" si="141"/>
        <v>0.26784820451975305</v>
      </c>
      <c r="L334" s="2">
        <f t="shared" si="141"/>
        <v>0.12862201294006415</v>
      </c>
      <c r="M334" s="2">
        <f t="shared" si="141"/>
        <v>4.2101555403125636E-2</v>
      </c>
      <c r="N334" s="2">
        <f t="shared" si="141"/>
        <v>0.14790233773938191</v>
      </c>
      <c r="O334" s="2">
        <f t="shared" si="141"/>
        <v>0.16354906286498211</v>
      </c>
      <c r="P334" s="2">
        <f t="shared" si="141"/>
        <v>0.28115904414082055</v>
      </c>
      <c r="Q334" s="2">
        <f t="shared" si="141"/>
        <v>0.38371554105411471</v>
      </c>
      <c r="R334" s="2">
        <f t="shared" si="141"/>
        <v>0.35210693164754081</v>
      </c>
    </row>
    <row r="335" spans="1:18">
      <c r="A335" s="3" t="s">
        <v>6</v>
      </c>
      <c r="B335" s="2">
        <f>(B329-11.139)/(46.08-11.139)</f>
        <v>0.12649458518808657</v>
      </c>
      <c r="C335" s="2">
        <f t="shared" ref="C335:R335" si="142">(C329-11.139)/(46.08-11.139)</f>
        <v>4.3029094637172791E-2</v>
      </c>
      <c r="D335" s="2">
        <f t="shared" si="142"/>
        <v>0.35229373032403588</v>
      </c>
      <c r="E335" s="2">
        <f t="shared" si="142"/>
        <v>0.75523950351581792</v>
      </c>
      <c r="F335" s="2">
        <f t="shared" si="142"/>
        <v>8.356432244767116E-2</v>
      </c>
      <c r="G335" s="2">
        <f t="shared" si="142"/>
        <v>0.24697244074335772</v>
      </c>
      <c r="H335" s="2">
        <f t="shared" si="142"/>
        <v>0.32912009291410932</v>
      </c>
      <c r="I335" s="2">
        <f t="shared" si="142"/>
        <v>0.61888434887034838</v>
      </c>
      <c r="J335" s="2">
        <f t="shared" si="142"/>
        <v>1.0000113964439361</v>
      </c>
      <c r="K335" s="2">
        <f t="shared" si="142"/>
        <v>0.30722767137709278</v>
      </c>
      <c r="L335" s="2">
        <f t="shared" si="142"/>
        <v>0.19658420060035728</v>
      </c>
      <c r="M335" s="2">
        <f t="shared" si="142"/>
        <v>0.14989056633434625</v>
      </c>
      <c r="N335" s="2">
        <f t="shared" si="142"/>
        <v>0.5818430608450742</v>
      </c>
      <c r="O335" s="2">
        <f t="shared" si="142"/>
        <v>0.33144749976317667</v>
      </c>
      <c r="P335" s="2">
        <f t="shared" si="142"/>
        <v>0.18978844971916509</v>
      </c>
      <c r="Q335" s="2">
        <f t="shared" si="142"/>
        <v>1.3755388471772284E-5</v>
      </c>
      <c r="R335" s="2">
        <f t="shared" si="142"/>
        <v>0.70583583063328592</v>
      </c>
    </row>
    <row r="336" spans="1:18">
      <c r="A336" s="3" t="s">
        <v>3</v>
      </c>
      <c r="B336" s="2">
        <f t="shared" ref="B336:R336" si="143">(B330-20.306)/(220.407-20.306)</f>
        <v>1.0488383900787979E-2</v>
      </c>
      <c r="C336" s="2">
        <f t="shared" si="143"/>
        <v>0.42956359797816623</v>
      </c>
      <c r="D336" s="2">
        <f t="shared" si="143"/>
        <v>0.18770119943230038</v>
      </c>
      <c r="E336" s="2">
        <f t="shared" si="143"/>
        <v>0.11962771692214143</v>
      </c>
      <c r="F336" s="2">
        <f t="shared" si="143"/>
        <v>6.1774231359696945E-2</v>
      </c>
      <c r="G336" s="2">
        <f t="shared" si="143"/>
        <v>0.37022864324347798</v>
      </c>
      <c r="H336" s="2">
        <f t="shared" si="143"/>
        <v>3.1174694251596365E-2</v>
      </c>
      <c r="I336" s="2">
        <f t="shared" si="143"/>
        <v>0.25552533965011393</v>
      </c>
      <c r="J336" s="2">
        <f t="shared" si="143"/>
        <v>0.99999894544291901</v>
      </c>
      <c r="K336" s="2">
        <f t="shared" si="143"/>
        <v>0.21772145012429062</v>
      </c>
      <c r="L336" s="2">
        <f t="shared" si="143"/>
        <v>6.92221876132076E-2</v>
      </c>
      <c r="M336" s="2">
        <f t="shared" si="143"/>
        <v>0.42190623624870355</v>
      </c>
      <c r="N336" s="2">
        <f t="shared" si="143"/>
        <v>0.52281749869460181</v>
      </c>
      <c r="O336" s="2">
        <f t="shared" si="143"/>
        <v>0.31059137948874188</v>
      </c>
      <c r="P336" s="2">
        <f t="shared" si="143"/>
        <v>0.11437296939724553</v>
      </c>
      <c r="Q336" s="2">
        <f t="shared" si="143"/>
        <v>8.1997282027523474E-2</v>
      </c>
      <c r="R336" s="2">
        <f t="shared" si="143"/>
        <v>0.13768657604400175</v>
      </c>
    </row>
    <row r="337" spans="1:18">
      <c r="A337" s="3" t="s">
        <v>7</v>
      </c>
      <c r="B337" s="2">
        <f t="shared" ref="B337:R337" si="144">(B331-61.614)/(81.076-61.614)</f>
        <v>0.6219286614816617</v>
      </c>
      <c r="C337" s="2">
        <f t="shared" si="144"/>
        <v>0.51636083825641521</v>
      </c>
      <c r="D337" s="2">
        <f t="shared" si="144"/>
        <v>0.7814064180103325</v>
      </c>
      <c r="E337" s="2">
        <f t="shared" si="144"/>
        <v>0.4946925967050243</v>
      </c>
      <c r="F337" s="2">
        <f t="shared" si="144"/>
        <v>0.48232327662912938</v>
      </c>
      <c r="G337" s="2">
        <f t="shared" si="144"/>
        <v>0.83188126455306333</v>
      </c>
      <c r="H337" s="2">
        <f t="shared" si="144"/>
        <v>-6.2661195919162148E-6</v>
      </c>
      <c r="I337" s="2">
        <f t="shared" si="144"/>
        <v>0.20719175077887961</v>
      </c>
      <c r="J337" s="2">
        <f t="shared" si="144"/>
        <v>0.54097666246418985</v>
      </c>
      <c r="K337" s="2">
        <f t="shared" si="144"/>
        <v>0.65051093939158589</v>
      </c>
      <c r="L337" s="2">
        <f t="shared" si="144"/>
        <v>0.45536267046978474</v>
      </c>
      <c r="M337" s="2">
        <f t="shared" si="144"/>
        <v>0.26621859734166198</v>
      </c>
      <c r="N337" s="2">
        <f t="shared" si="144"/>
        <v>0.56012843038717175</v>
      </c>
      <c r="O337" s="2">
        <f t="shared" si="144"/>
        <v>0.56448463672798266</v>
      </c>
      <c r="P337" s="2">
        <f t="shared" si="144"/>
        <v>0.40247035498820827</v>
      </c>
      <c r="Q337" s="2">
        <f t="shared" si="144"/>
        <v>0.68198691132939537</v>
      </c>
      <c r="R337" s="2">
        <f t="shared" si="144"/>
        <v>0.59888563329164357</v>
      </c>
    </row>
    <row r="338" spans="1:18">
      <c r="A338" s="4" t="s">
        <v>8</v>
      </c>
      <c r="B338" s="2">
        <f t="shared" ref="B338:R338" si="145">(B332-45.31)/(151.792-45.31)</f>
        <v>0.38742989425442803</v>
      </c>
      <c r="C338" s="2">
        <f t="shared" si="145"/>
        <v>0.44798886196728083</v>
      </c>
      <c r="D338" s="2">
        <f t="shared" si="145"/>
        <v>0.35073186078398233</v>
      </c>
      <c r="E338" s="2">
        <f t="shared" si="145"/>
        <v>0.157678950432937</v>
      </c>
      <c r="F338" s="2">
        <f t="shared" si="145"/>
        <v>0.24888300370015587</v>
      </c>
      <c r="G338" s="2">
        <f t="shared" si="145"/>
        <v>0.14486617456471512</v>
      </c>
      <c r="H338" s="2">
        <f t="shared" si="145"/>
        <v>1.7843391370969717E-6</v>
      </c>
      <c r="I338" s="2">
        <f t="shared" si="145"/>
        <v>7.0462237749103082E-2</v>
      </c>
      <c r="J338" s="2">
        <f t="shared" si="145"/>
        <v>0.19582126556601112</v>
      </c>
      <c r="K338" s="2">
        <f t="shared" si="145"/>
        <v>0.25686688830036997</v>
      </c>
      <c r="L338" s="2">
        <f t="shared" si="145"/>
        <v>0.37981095396405018</v>
      </c>
      <c r="M338" s="2">
        <f t="shared" si="145"/>
        <v>0.30706494100053527</v>
      </c>
      <c r="N338" s="2">
        <f t="shared" si="145"/>
        <v>0.13890011601816454</v>
      </c>
      <c r="O338" s="2">
        <f t="shared" si="145"/>
        <v>0.28893258954565093</v>
      </c>
      <c r="P338" s="2">
        <f t="shared" si="145"/>
        <v>0.24533770965984858</v>
      </c>
      <c r="Q338" s="2">
        <f t="shared" si="145"/>
        <v>0.49775736744238464</v>
      </c>
      <c r="R338" s="2">
        <f t="shared" si="145"/>
        <v>0.13652476474897166</v>
      </c>
    </row>
    <row r="339" spans="1:18">
      <c r="A339" s="3" t="s">
        <v>57</v>
      </c>
      <c r="B339" s="2">
        <f t="shared" ref="B339:R339" si="146">(B333+B334+B335+B336+B337+B338)/6</f>
        <v>0.28547284603947137</v>
      </c>
      <c r="C339" s="2">
        <f t="shared" si="146"/>
        <v>0.28716464804251013</v>
      </c>
      <c r="D339" s="2">
        <f t="shared" si="146"/>
        <v>0.38961779670931701</v>
      </c>
      <c r="E339" s="2">
        <f t="shared" si="146"/>
        <v>0.25817954503021379</v>
      </c>
      <c r="F339" s="2">
        <f t="shared" si="146"/>
        <v>0.19650916631968049</v>
      </c>
      <c r="G339" s="2">
        <f t="shared" si="146"/>
        <v>0.32463894619123562</v>
      </c>
      <c r="H339" s="2">
        <f t="shared" si="146"/>
        <v>6.1293573103534969E-2</v>
      </c>
      <c r="I339" s="2">
        <f t="shared" si="146"/>
        <v>0.20474274311468485</v>
      </c>
      <c r="J339" s="2">
        <f t="shared" si="146"/>
        <v>0.53624506421041762</v>
      </c>
      <c r="K339" s="2">
        <f t="shared" si="146"/>
        <v>0.32308446493138271</v>
      </c>
      <c r="L339" s="2">
        <f t="shared" si="146"/>
        <v>0.21980577915213315</v>
      </c>
      <c r="M339" s="2">
        <f t="shared" si="146"/>
        <v>0.20157480578525222</v>
      </c>
      <c r="N339" s="2">
        <f t="shared" si="146"/>
        <v>0.34035377930879224</v>
      </c>
      <c r="O339" s="2">
        <f t="shared" si="146"/>
        <v>0.29350392633831818</v>
      </c>
      <c r="P339" s="2">
        <f t="shared" si="146"/>
        <v>0.23769761623254479</v>
      </c>
      <c r="Q339" s="2">
        <f t="shared" si="146"/>
        <v>0.30505179073661898</v>
      </c>
      <c r="R339" s="2">
        <f t="shared" si="146"/>
        <v>0.35254992421639325</v>
      </c>
    </row>
    <row r="341" spans="1:18">
      <c r="A341" s="1" t="s">
        <v>9</v>
      </c>
      <c r="B341" s="2" t="s">
        <v>28</v>
      </c>
      <c r="C341" s="2" t="s">
        <v>29</v>
      </c>
      <c r="D341" s="2" t="s">
        <v>30</v>
      </c>
      <c r="E341" s="2" t="s">
        <v>31</v>
      </c>
      <c r="F341" s="2" t="s">
        <v>32</v>
      </c>
      <c r="G341" s="2" t="s">
        <v>33</v>
      </c>
      <c r="H341" s="2" t="s">
        <v>34</v>
      </c>
      <c r="I341" s="2" t="s">
        <v>35</v>
      </c>
      <c r="J341" s="2" t="s">
        <v>36</v>
      </c>
      <c r="K341" s="2" t="s">
        <v>37</v>
      </c>
      <c r="L341" s="2" t="s">
        <v>38</v>
      </c>
      <c r="M341" s="2" t="s">
        <v>39</v>
      </c>
      <c r="N341" s="2" t="s">
        <v>40</v>
      </c>
      <c r="O341" s="2" t="s">
        <v>41</v>
      </c>
      <c r="P341" s="2" t="s">
        <v>42</v>
      </c>
      <c r="Q341" s="2" t="s">
        <v>43</v>
      </c>
      <c r="R341" s="2" t="s">
        <v>44</v>
      </c>
    </row>
    <row r="342" spans="1:18">
      <c r="B342" s="2">
        <v>2000</v>
      </c>
      <c r="C342" s="2">
        <v>2000</v>
      </c>
      <c r="D342" s="2">
        <v>2000</v>
      </c>
      <c r="E342" s="2">
        <v>2000</v>
      </c>
      <c r="F342" s="2">
        <v>2000</v>
      </c>
      <c r="G342" s="2">
        <v>2000</v>
      </c>
      <c r="H342" s="2">
        <v>2000</v>
      </c>
      <c r="I342" s="2">
        <v>2000</v>
      </c>
      <c r="J342" s="2">
        <v>2000</v>
      </c>
      <c r="K342" s="2">
        <v>2000</v>
      </c>
      <c r="L342" s="2">
        <v>2000</v>
      </c>
      <c r="M342" s="2">
        <v>2000</v>
      </c>
      <c r="N342" s="2">
        <v>2000</v>
      </c>
      <c r="O342" s="2">
        <v>2000</v>
      </c>
      <c r="P342" s="2">
        <v>2000</v>
      </c>
      <c r="Q342" s="2">
        <v>2000</v>
      </c>
      <c r="R342" s="2">
        <v>2000</v>
      </c>
    </row>
    <row r="343" spans="1:18">
      <c r="A343" s="1" t="s">
        <v>0</v>
      </c>
      <c r="B343" s="3">
        <v>29506.584234772006</v>
      </c>
      <c r="C343" s="3">
        <v>30399.007915694125</v>
      </c>
      <c r="D343" s="3">
        <v>32446.787081833136</v>
      </c>
      <c r="E343" s="3">
        <v>31652.549890587434</v>
      </c>
      <c r="F343" s="3">
        <v>27332.822127210547</v>
      </c>
      <c r="G343" s="3">
        <v>28209.889642263926</v>
      </c>
      <c r="H343" s="3">
        <v>27717.074226549081</v>
      </c>
      <c r="I343" s="3">
        <v>33188.666541770748</v>
      </c>
      <c r="J343" s="3">
        <v>28889.196171560459</v>
      </c>
      <c r="K343" s="3">
        <v>33690.793830251481</v>
      </c>
      <c r="L343" s="3">
        <v>22636.752335455163</v>
      </c>
      <c r="M343" s="3">
        <v>43975.924648483408</v>
      </c>
      <c r="N343" s="3">
        <v>25147.124993923037</v>
      </c>
      <c r="O343" s="3">
        <v>29145.494457761251</v>
      </c>
      <c r="P343" s="3">
        <v>35858.902306521464</v>
      </c>
      <c r="Q343" s="3">
        <v>29445.123056267083</v>
      </c>
      <c r="R343" s="3">
        <v>40965.026497368213</v>
      </c>
    </row>
    <row r="344" spans="1:18">
      <c r="A344" s="1" t="s">
        <v>1</v>
      </c>
      <c r="B344" s="2">
        <v>45262</v>
      </c>
      <c r="C344" s="2">
        <v>51915</v>
      </c>
      <c r="D344" s="2">
        <v>47199</v>
      </c>
      <c r="E344" s="2">
        <v>44413</v>
      </c>
      <c r="F344" s="2">
        <v>44963</v>
      </c>
      <c r="G344" s="2">
        <v>49131</v>
      </c>
      <c r="H344" s="2">
        <v>47247</v>
      </c>
      <c r="I344" s="2">
        <v>47393</v>
      </c>
      <c r="J344" s="2">
        <v>39790</v>
      </c>
      <c r="K344" s="2">
        <v>43434</v>
      </c>
      <c r="L344" s="2">
        <v>34723</v>
      </c>
      <c r="M344" s="2">
        <v>48579</v>
      </c>
      <c r="N344" s="2">
        <v>38888</v>
      </c>
      <c r="O344" s="2">
        <v>43307</v>
      </c>
      <c r="P344" s="2">
        <v>39686</v>
      </c>
      <c r="Q344" s="2">
        <v>44075</v>
      </c>
      <c r="R344" s="2">
        <v>58601</v>
      </c>
    </row>
    <row r="345" spans="1:18">
      <c r="A345" s="1" t="s">
        <v>2</v>
      </c>
      <c r="B345" s="2">
        <v>26.276595742639675</v>
      </c>
      <c r="C345" s="2">
        <v>25.503379622480132</v>
      </c>
      <c r="D345" s="2">
        <v>25.983742918527891</v>
      </c>
      <c r="E345" s="2">
        <v>27.217316105638261</v>
      </c>
      <c r="F345" s="2">
        <v>30.004160520443286</v>
      </c>
      <c r="G345" s="2">
        <v>20.88713430131719</v>
      </c>
      <c r="H345" s="2">
        <v>21.778135103776965</v>
      </c>
      <c r="I345" s="2">
        <v>37.20311042273854</v>
      </c>
      <c r="J345" s="2">
        <v>26.553367591103438</v>
      </c>
      <c r="K345" s="2">
        <v>27.578237151880565</v>
      </c>
      <c r="L345" s="2">
        <v>22.989383422738527</v>
      </c>
      <c r="M345" s="2">
        <v>37.477468232739824</v>
      </c>
      <c r="N345" s="2">
        <v>23.162784347530668</v>
      </c>
      <c r="O345" s="2">
        <v>24.996303157831544</v>
      </c>
      <c r="P345" s="2">
        <v>28.308820067576697</v>
      </c>
      <c r="Q345" s="2">
        <v>15.841479594870881</v>
      </c>
      <c r="R345" s="2">
        <v>16.715157392815293</v>
      </c>
    </row>
    <row r="346" spans="1:18">
      <c r="A346" s="1" t="s">
        <v>3</v>
      </c>
      <c r="B346" s="2">
        <v>90.671754722775631</v>
      </c>
      <c r="C346" s="2">
        <v>153.35487421943986</v>
      </c>
      <c r="D346" s="2">
        <v>85.404202393326258</v>
      </c>
      <c r="E346" s="2">
        <v>86.979612245481519</v>
      </c>
      <c r="F346" s="2">
        <v>78.013540602897237</v>
      </c>
      <c r="G346" s="2">
        <v>56.632251413044933</v>
      </c>
      <c r="H346" s="2">
        <v>52.584150441604457</v>
      </c>
      <c r="I346" s="2">
        <v>181.36046056417487</v>
      </c>
      <c r="J346" s="2">
        <v>20.306044796610834</v>
      </c>
      <c r="K346" s="2">
        <v>134.61766676236962</v>
      </c>
      <c r="L346" s="2">
        <v>68.383796953557095</v>
      </c>
      <c r="M346" s="2">
        <v>75.964022084169898</v>
      </c>
      <c r="N346" s="2">
        <v>61.230943615486098</v>
      </c>
      <c r="O346" s="2">
        <v>86.6913681935618</v>
      </c>
      <c r="P346" s="2">
        <v>85.826409459690083</v>
      </c>
      <c r="Q346" s="2">
        <v>57.266834410957102</v>
      </c>
      <c r="R346" s="2">
        <v>25.94758960682103</v>
      </c>
    </row>
    <row r="347" spans="1:18">
      <c r="A347" s="6" t="s">
        <v>27</v>
      </c>
      <c r="B347" s="2">
        <v>78.026829268292687</v>
      </c>
      <c r="C347" s="2">
        <v>78.173170731707316</v>
      </c>
      <c r="D347" s="2">
        <v>79.236585365853671</v>
      </c>
      <c r="E347" s="2">
        <v>76.592682926829269</v>
      </c>
      <c r="F347" s="2">
        <v>77.465853658536602</v>
      </c>
      <c r="G347" s="2">
        <v>78.958536585365863</v>
      </c>
      <c r="H347" s="2">
        <v>79.426829268292678</v>
      </c>
      <c r="I347" s="2">
        <v>76.540731707317079</v>
      </c>
      <c r="J347" s="2">
        <v>81.076097560975626</v>
      </c>
      <c r="K347" s="2">
        <v>77.987804878048792</v>
      </c>
      <c r="L347" s="2">
        <v>78.636585365853662</v>
      </c>
      <c r="M347" s="2">
        <v>78.634146341463421</v>
      </c>
      <c r="N347" s="2">
        <v>78.965853658536588</v>
      </c>
      <c r="O347" s="2">
        <v>79.643902439024401</v>
      </c>
      <c r="P347" s="2">
        <v>79.680487804878055</v>
      </c>
      <c r="Q347" s="2">
        <v>77.741463414634154</v>
      </c>
      <c r="R347" s="2">
        <v>76.636585365853662</v>
      </c>
    </row>
    <row r="348" spans="1:18">
      <c r="A348" s="6" t="s">
        <v>47</v>
      </c>
      <c r="B348" s="2">
        <v>97.66807</v>
      </c>
      <c r="C348" s="2">
        <v>145.13396</v>
      </c>
      <c r="D348" s="2">
        <v>102.47223</v>
      </c>
      <c r="E348" s="2">
        <v>126.73689</v>
      </c>
      <c r="F348" s="2">
        <v>124.81654</v>
      </c>
      <c r="G348" s="2">
        <v>108.24511</v>
      </c>
      <c r="H348" s="2">
        <v>93.232669999999999</v>
      </c>
      <c r="I348" s="2">
        <v>104.55955</v>
      </c>
      <c r="J348" s="2">
        <v>101.80839</v>
      </c>
      <c r="K348" s="2">
        <v>123.41812</v>
      </c>
      <c r="L348" s="2">
        <v>110.64079</v>
      </c>
      <c r="M348" s="2">
        <v>116.0941</v>
      </c>
      <c r="N348" s="2">
        <v>111.41744</v>
      </c>
      <c r="O348" s="2">
        <v>151.79216</v>
      </c>
      <c r="P348" s="2">
        <v>95.444999999999993</v>
      </c>
      <c r="Q348" s="2">
        <v>101.57962000000001</v>
      </c>
      <c r="R348" s="2">
        <v>93.033900000000003</v>
      </c>
    </row>
    <row r="349" spans="1:18">
      <c r="A349" s="3" t="s">
        <v>4</v>
      </c>
      <c r="B349" s="2">
        <f t="shared" ref="B349:R349" si="147">(B343-1745.214)/(43975.92-1745.214)</f>
        <v>0.65737404993352488</v>
      </c>
      <c r="C349" s="2">
        <f t="shared" si="147"/>
        <v>0.67850615416408444</v>
      </c>
      <c r="D349" s="2">
        <f t="shared" si="147"/>
        <v>0.72699644381586082</v>
      </c>
      <c r="E349" s="2">
        <f t="shared" si="147"/>
        <v>0.70818934191124905</v>
      </c>
      <c r="F349" s="2">
        <f t="shared" si="147"/>
        <v>0.60590055319488501</v>
      </c>
      <c r="G349" s="2">
        <f t="shared" si="147"/>
        <v>0.62666903182399858</v>
      </c>
      <c r="H349" s="2">
        <f t="shared" si="147"/>
        <v>0.61499943255860046</v>
      </c>
      <c r="I349" s="2">
        <f t="shared" si="147"/>
        <v>0.74456374330494857</v>
      </c>
      <c r="J349" s="2">
        <f t="shared" si="147"/>
        <v>0.64275463856939685</v>
      </c>
      <c r="K349" s="2">
        <f t="shared" si="147"/>
        <v>0.75645384261990511</v>
      </c>
      <c r="L349" s="2">
        <f t="shared" si="147"/>
        <v>0.4947001912649806</v>
      </c>
      <c r="M349" s="2">
        <f t="shared" si="147"/>
        <v>1.0000001100735425</v>
      </c>
      <c r="N349" s="2">
        <f t="shared" si="147"/>
        <v>0.55414444158056553</v>
      </c>
      <c r="O349" s="2">
        <f t="shared" si="147"/>
        <v>0.64882364168293216</v>
      </c>
      <c r="P349" s="2">
        <f t="shared" si="147"/>
        <v>0.80779346446449329</v>
      </c>
      <c r="Q349" s="2">
        <f t="shared" si="147"/>
        <v>0.65591868287182042</v>
      </c>
      <c r="R349" s="2">
        <f t="shared" si="147"/>
        <v>0.92870369009147546</v>
      </c>
    </row>
    <row r="350" spans="1:18">
      <c r="A350" s="3" t="s">
        <v>5</v>
      </c>
      <c r="B350" s="2">
        <f>(B344-4660)/(58601-4660)</f>
        <v>0.75271129567490402</v>
      </c>
      <c r="C350" s="2">
        <f t="shared" ref="C350:R350" si="148">(C344-4660)/(58601-4660)</f>
        <v>0.87604975806900132</v>
      </c>
      <c r="D350" s="2">
        <f t="shared" si="148"/>
        <v>0.78862090061363344</v>
      </c>
      <c r="E350" s="2">
        <f t="shared" si="148"/>
        <v>0.73697187668007635</v>
      </c>
      <c r="F350" s="2">
        <f t="shared" si="148"/>
        <v>0.74716820229510017</v>
      </c>
      <c r="G350" s="2">
        <f t="shared" si="148"/>
        <v>0.82443781168313524</v>
      </c>
      <c r="H350" s="2">
        <f t="shared" si="148"/>
        <v>0.78951076175821733</v>
      </c>
      <c r="I350" s="2">
        <f t="shared" si="148"/>
        <v>0.79221742273966</v>
      </c>
      <c r="J350" s="2">
        <f t="shared" si="148"/>
        <v>0.65126712519233976</v>
      </c>
      <c r="K350" s="2">
        <f t="shared" si="148"/>
        <v>0.71882241708533401</v>
      </c>
      <c r="L350" s="2">
        <f t="shared" si="148"/>
        <v>0.55733115811720213</v>
      </c>
      <c r="M350" s="2">
        <f t="shared" si="148"/>
        <v>0.81420440852042042</v>
      </c>
      <c r="N350" s="2">
        <f t="shared" si="148"/>
        <v>0.6345451511837007</v>
      </c>
      <c r="O350" s="2">
        <f t="shared" si="148"/>
        <v>0.71646799280695572</v>
      </c>
      <c r="P350" s="2">
        <f t="shared" si="148"/>
        <v>0.64933909271240797</v>
      </c>
      <c r="Q350" s="2">
        <f t="shared" si="148"/>
        <v>0.73070577112029811</v>
      </c>
      <c r="R350" s="2">
        <f t="shared" si="148"/>
        <v>1</v>
      </c>
    </row>
    <row r="351" spans="1:18">
      <c r="A351" s="3" t="s">
        <v>6</v>
      </c>
      <c r="B351" s="2">
        <f t="shared" ref="B351:R351" si="149">(B345-11.139)/(46.08-11.139)</f>
        <v>0.43323304263300061</v>
      </c>
      <c r="C351" s="2">
        <f t="shared" si="149"/>
        <v>0.41110384998941452</v>
      </c>
      <c r="D351" s="2">
        <f t="shared" si="149"/>
        <v>0.42485169052196248</v>
      </c>
      <c r="E351" s="2">
        <f t="shared" si="149"/>
        <v>0.46015615196011161</v>
      </c>
      <c r="F351" s="2">
        <f t="shared" si="149"/>
        <v>0.53991472826888998</v>
      </c>
      <c r="G351" s="2">
        <f t="shared" si="149"/>
        <v>0.27898841765596832</v>
      </c>
      <c r="H351" s="2">
        <f t="shared" si="149"/>
        <v>0.30448856941063407</v>
      </c>
      <c r="I351" s="2">
        <f t="shared" si="149"/>
        <v>0.74594632159178442</v>
      </c>
      <c r="J351" s="2">
        <f t="shared" si="149"/>
        <v>0.44115416247684491</v>
      </c>
      <c r="K351" s="2">
        <f t="shared" si="149"/>
        <v>0.47048559434133436</v>
      </c>
      <c r="L351" s="2">
        <f t="shared" si="149"/>
        <v>0.33915410041894983</v>
      </c>
      <c r="M351" s="2">
        <f t="shared" si="149"/>
        <v>0.75379835244382887</v>
      </c>
      <c r="N351" s="2">
        <f t="shared" si="149"/>
        <v>0.34411677821272052</v>
      </c>
      <c r="O351" s="2">
        <f t="shared" si="149"/>
        <v>0.39659148730235377</v>
      </c>
      <c r="P351" s="2">
        <f t="shared" si="149"/>
        <v>0.49139463860727217</v>
      </c>
      <c r="Q351" s="2">
        <f t="shared" si="149"/>
        <v>0.13458342906244472</v>
      </c>
      <c r="R351" s="2">
        <f t="shared" si="149"/>
        <v>0.15958780208967382</v>
      </c>
    </row>
    <row r="352" spans="1:18">
      <c r="A352" s="3" t="s">
        <v>3</v>
      </c>
      <c r="B352" s="2">
        <f>(B346-20.306)/(220.407-20.306)</f>
        <v>0.35165118976304782</v>
      </c>
      <c r="C352" s="2">
        <f t="shared" ref="C352:R352" si="150">(C346-20.306)/(220.407-20.306)</f>
        <v>0.66490859225810894</v>
      </c>
      <c r="D352" s="2">
        <f t="shared" si="150"/>
        <v>0.32532672197203544</v>
      </c>
      <c r="E352" s="2">
        <f t="shared" si="150"/>
        <v>0.33319979533076555</v>
      </c>
      <c r="F352" s="2">
        <f t="shared" si="150"/>
        <v>0.28839206502165027</v>
      </c>
      <c r="G352" s="2">
        <f t="shared" si="150"/>
        <v>0.181539579577538</v>
      </c>
      <c r="H352" s="2">
        <f t="shared" si="150"/>
        <v>0.16130929101605915</v>
      </c>
      <c r="I352" s="2">
        <f t="shared" si="150"/>
        <v>0.80486584556886198</v>
      </c>
      <c r="J352" s="2">
        <f t="shared" si="150"/>
        <v>2.2386999981624751E-7</v>
      </c>
      <c r="K352" s="2">
        <f t="shared" si="150"/>
        <v>0.5712698425413647</v>
      </c>
      <c r="L352" s="2">
        <f t="shared" si="150"/>
        <v>0.2402676496047351</v>
      </c>
      <c r="M352" s="2">
        <f t="shared" si="150"/>
        <v>0.27814964485020016</v>
      </c>
      <c r="N352" s="2">
        <f t="shared" si="150"/>
        <v>0.20452143475288029</v>
      </c>
      <c r="O352" s="2">
        <f t="shared" si="150"/>
        <v>0.33175930252003638</v>
      </c>
      <c r="P352" s="2">
        <f t="shared" si="150"/>
        <v>0.32743669176910706</v>
      </c>
      <c r="Q352" s="2">
        <f t="shared" si="150"/>
        <v>0.18471089305379337</v>
      </c>
      <c r="R352" s="2">
        <f t="shared" si="150"/>
        <v>2.8193710210448867E-2</v>
      </c>
    </row>
    <row r="353" spans="1:18">
      <c r="A353" s="3" t="s">
        <v>7</v>
      </c>
      <c r="B353" s="2">
        <f>(B347-61.614)/(81.076-61.614)</f>
        <v>0.8433269586010016</v>
      </c>
      <c r="C353" s="2">
        <f t="shared" ref="C353:R353" si="151">(C347-61.614)/(81.076-61.614)</f>
        <v>0.85084630211218382</v>
      </c>
      <c r="D353" s="2">
        <f t="shared" si="151"/>
        <v>0.90548686496011088</v>
      </c>
      <c r="E353" s="2">
        <f t="shared" si="151"/>
        <v>0.76963739219141281</v>
      </c>
      <c r="F353" s="2">
        <f t="shared" si="151"/>
        <v>0.81450280847480261</v>
      </c>
      <c r="G353" s="2">
        <f t="shared" si="151"/>
        <v>0.89120011228886387</v>
      </c>
      <c r="H353" s="2">
        <f t="shared" si="151"/>
        <v>0.91526201152464726</v>
      </c>
      <c r="I353" s="2">
        <f t="shared" si="151"/>
        <v>0.76696802524494323</v>
      </c>
      <c r="J353" s="2">
        <f t="shared" si="151"/>
        <v>1.0000050128956752</v>
      </c>
      <c r="K353" s="2">
        <f t="shared" si="151"/>
        <v>0.84132180033135329</v>
      </c>
      <c r="L353" s="2">
        <f t="shared" si="151"/>
        <v>0.87465755656426203</v>
      </c>
      <c r="M353" s="2">
        <f t="shared" si="151"/>
        <v>0.87453223417240911</v>
      </c>
      <c r="N353" s="2">
        <f t="shared" si="151"/>
        <v>0.89157607946442263</v>
      </c>
      <c r="O353" s="2">
        <f t="shared" si="151"/>
        <v>0.92641570439956877</v>
      </c>
      <c r="P353" s="2">
        <f t="shared" si="151"/>
        <v>0.92829554027736416</v>
      </c>
      <c r="Q353" s="2">
        <f t="shared" si="151"/>
        <v>0.82866423875419593</v>
      </c>
      <c r="R353" s="2">
        <f t="shared" si="151"/>
        <v>0.77189319524476763</v>
      </c>
    </row>
    <row r="354" spans="1:18">
      <c r="A354" s="4" t="s">
        <v>8</v>
      </c>
      <c r="B354" s="2">
        <f>(B348-45.31)/(151.792-45.31)</f>
        <v>0.49170817602975148</v>
      </c>
      <c r="C354" s="2">
        <f t="shared" ref="C354:R354" si="152">(C348-45.31)/(151.792-45.31)</f>
        <v>0.937472624481133</v>
      </c>
      <c r="D354" s="2">
        <f t="shared" si="152"/>
        <v>0.53682528502469895</v>
      </c>
      <c r="E354" s="2">
        <f t="shared" si="152"/>
        <v>0.76470098232565131</v>
      </c>
      <c r="F354" s="2">
        <f t="shared" si="152"/>
        <v>0.7466664788414944</v>
      </c>
      <c r="G354" s="2">
        <f t="shared" si="152"/>
        <v>0.59103989406660273</v>
      </c>
      <c r="H354" s="2">
        <f t="shared" si="152"/>
        <v>0.45005418756221705</v>
      </c>
      <c r="I354" s="2">
        <f t="shared" si="152"/>
        <v>0.55642784696004954</v>
      </c>
      <c r="J354" s="2">
        <f t="shared" si="152"/>
        <v>0.53059099190473513</v>
      </c>
      <c r="K354" s="2">
        <f t="shared" si="152"/>
        <v>0.73353355496703665</v>
      </c>
      <c r="L354" s="2">
        <f t="shared" si="152"/>
        <v>0.61353834450893108</v>
      </c>
      <c r="M354" s="2">
        <f t="shared" si="152"/>
        <v>0.66475178903476639</v>
      </c>
      <c r="N354" s="2">
        <f t="shared" si="152"/>
        <v>0.62083206551342007</v>
      </c>
      <c r="O354" s="2">
        <f t="shared" si="152"/>
        <v>1.0000015026013787</v>
      </c>
      <c r="P354" s="2">
        <f t="shared" si="152"/>
        <v>0.4708307507372137</v>
      </c>
      <c r="Q354" s="2">
        <f t="shared" si="152"/>
        <v>0.52844255367104298</v>
      </c>
      <c r="R354" s="2">
        <f t="shared" si="152"/>
        <v>0.44818748708701939</v>
      </c>
    </row>
    <row r="355" spans="1:18">
      <c r="A355" s="4" t="s">
        <v>57</v>
      </c>
      <c r="B355" s="2">
        <f>(B349+B350+B351+B352+B353+B354)/6</f>
        <v>0.58833411877253849</v>
      </c>
      <c r="C355" s="2">
        <f t="shared" ref="C355:R355" si="153">(C349+C350+C351+C352+C353+C354)/6</f>
        <v>0.73648121351232099</v>
      </c>
      <c r="D355" s="2">
        <f t="shared" si="153"/>
        <v>0.61801798448471701</v>
      </c>
      <c r="E355" s="2">
        <f t="shared" si="153"/>
        <v>0.62880925673321109</v>
      </c>
      <c r="F355" s="2">
        <f t="shared" si="153"/>
        <v>0.62375747268280379</v>
      </c>
      <c r="G355" s="2">
        <f t="shared" si="153"/>
        <v>0.56564580784935115</v>
      </c>
      <c r="H355" s="2">
        <f t="shared" si="153"/>
        <v>0.53927070897172924</v>
      </c>
      <c r="I355" s="2">
        <f t="shared" si="153"/>
        <v>0.73516486756837462</v>
      </c>
      <c r="J355" s="2">
        <f t="shared" si="153"/>
        <v>0.54429535915149863</v>
      </c>
      <c r="K355" s="2">
        <f t="shared" si="153"/>
        <v>0.68198117531438796</v>
      </c>
      <c r="L355" s="2">
        <f t="shared" si="153"/>
        <v>0.51994150007984341</v>
      </c>
      <c r="M355" s="2">
        <f t="shared" si="153"/>
        <v>0.7309060898491947</v>
      </c>
      <c r="N355" s="2">
        <f t="shared" si="153"/>
        <v>0.54162265845128499</v>
      </c>
      <c r="O355" s="2">
        <f t="shared" si="153"/>
        <v>0.67000993855220425</v>
      </c>
      <c r="P355" s="2">
        <f t="shared" si="153"/>
        <v>0.61251502976130967</v>
      </c>
      <c r="Q355" s="2">
        <f t="shared" si="153"/>
        <v>0.5105042614222659</v>
      </c>
      <c r="R355" s="2">
        <f t="shared" si="153"/>
        <v>0.5560943141205642</v>
      </c>
    </row>
    <row r="357" spans="1:18">
      <c r="A357" s="1" t="s">
        <v>9</v>
      </c>
      <c r="B357" s="2" t="s">
        <v>10</v>
      </c>
      <c r="C357" s="2" t="s">
        <v>11</v>
      </c>
      <c r="D357" s="2" t="s">
        <v>12</v>
      </c>
      <c r="E357" s="2" t="s">
        <v>13</v>
      </c>
      <c r="F357" s="2" t="s">
        <v>14</v>
      </c>
      <c r="G357" s="2" t="s">
        <v>15</v>
      </c>
      <c r="H357" s="2" t="s">
        <v>16</v>
      </c>
      <c r="I357" s="2" t="s">
        <v>17</v>
      </c>
      <c r="J357" s="2" t="s">
        <v>18</v>
      </c>
      <c r="K357" s="2" t="s">
        <v>19</v>
      </c>
      <c r="L357" s="2" t="s">
        <v>20</v>
      </c>
      <c r="M357" s="2" t="s">
        <v>21</v>
      </c>
      <c r="N357" s="2" t="s">
        <v>22</v>
      </c>
      <c r="O357" s="2" t="s">
        <v>23</v>
      </c>
      <c r="P357" s="2" t="s">
        <v>24</v>
      </c>
      <c r="Q357" s="2" t="s">
        <v>25</v>
      </c>
      <c r="R357" s="2" t="s">
        <v>26</v>
      </c>
    </row>
    <row r="358" spans="1:18">
      <c r="B358" s="2">
        <v>1999</v>
      </c>
      <c r="C358" s="2">
        <v>1999</v>
      </c>
      <c r="D358" s="2">
        <v>1999</v>
      </c>
      <c r="E358" s="2">
        <v>1999</v>
      </c>
      <c r="F358" s="2">
        <v>1999</v>
      </c>
      <c r="G358" s="2">
        <v>1999</v>
      </c>
      <c r="H358" s="2">
        <v>1999</v>
      </c>
      <c r="I358" s="2">
        <v>1999</v>
      </c>
      <c r="J358" s="2">
        <v>1999</v>
      </c>
      <c r="K358" s="2">
        <v>1999</v>
      </c>
      <c r="L358" s="2">
        <v>1999</v>
      </c>
      <c r="M358" s="2">
        <v>1999</v>
      </c>
      <c r="N358" s="2">
        <v>1999</v>
      </c>
      <c r="O358" s="2">
        <v>1999</v>
      </c>
      <c r="P358" s="2">
        <v>1999</v>
      </c>
      <c r="Q358" s="2">
        <v>1999</v>
      </c>
      <c r="R358" s="2">
        <v>1999</v>
      </c>
    </row>
    <row r="359" spans="1:18">
      <c r="A359" s="1" t="s">
        <v>0</v>
      </c>
      <c r="B359" s="3">
        <v>10482.298502392146</v>
      </c>
      <c r="C359" s="3">
        <v>6695.0469653342843</v>
      </c>
      <c r="D359" s="3">
        <v>10647.592550727461</v>
      </c>
      <c r="E359" s="3">
        <v>2480.2314669136626</v>
      </c>
      <c r="F359" s="3">
        <v>6424.3109547023332</v>
      </c>
      <c r="G359" s="3">
        <v>8154.3977154307449</v>
      </c>
      <c r="H359" s="3">
        <v>1708.9393331618421</v>
      </c>
      <c r="I359" s="3">
        <v>2590.4544067823026</v>
      </c>
      <c r="J359" s="3">
        <v>9978.3572706894865</v>
      </c>
      <c r="K359" s="3">
        <v>11386.731573884399</v>
      </c>
      <c r="L359" s="3">
        <v>5436.80999192939</v>
      </c>
      <c r="M359" s="3">
        <v>2627.3833993000258</v>
      </c>
      <c r="N359" s="3">
        <v>5378.0336796846204</v>
      </c>
      <c r="O359" s="3">
        <v>5847.0200262765666</v>
      </c>
      <c r="P359" s="3">
        <v>9408.7647889447016</v>
      </c>
      <c r="Q359" s="3">
        <v>9774.2838529686451</v>
      </c>
      <c r="R359" s="3">
        <v>9365.3680969834786</v>
      </c>
    </row>
    <row r="360" spans="1:18">
      <c r="A360" s="1" t="s">
        <v>1</v>
      </c>
      <c r="B360" s="2">
        <v>24733</v>
      </c>
      <c r="C360" s="2">
        <v>12221</v>
      </c>
      <c r="D360" s="2">
        <v>27959</v>
      </c>
      <c r="E360" s="2">
        <v>4318</v>
      </c>
      <c r="F360" s="2">
        <v>14832</v>
      </c>
      <c r="G360" s="2">
        <v>16348</v>
      </c>
      <c r="H360" s="2">
        <v>4958</v>
      </c>
      <c r="I360" s="2">
        <v>7315</v>
      </c>
      <c r="J360" s="2">
        <v>18549</v>
      </c>
      <c r="K360" s="2">
        <v>18294</v>
      </c>
      <c r="L360" s="2">
        <v>11078</v>
      </c>
      <c r="M360" s="2">
        <v>6569</v>
      </c>
      <c r="N360" s="2">
        <v>12313</v>
      </c>
      <c r="O360" s="2">
        <v>13213</v>
      </c>
      <c r="P360" s="2">
        <v>18183</v>
      </c>
      <c r="Q360" s="2">
        <v>25384</v>
      </c>
      <c r="R360" s="2">
        <v>23518</v>
      </c>
    </row>
    <row r="361" spans="1:18">
      <c r="A361" s="1" t="s">
        <v>2</v>
      </c>
      <c r="B361" s="2">
        <v>16.267921542557495</v>
      </c>
      <c r="C361" s="2">
        <v>13.161352892217002</v>
      </c>
      <c r="D361" s="2">
        <v>23.174824687517351</v>
      </c>
      <c r="E361" s="2">
        <v>39.393739568544667</v>
      </c>
      <c r="F361" s="2">
        <v>13.424012356942159</v>
      </c>
      <c r="G361" s="2">
        <v>22.849023990291332</v>
      </c>
      <c r="H361" s="2">
        <v>24.309630642432527</v>
      </c>
      <c r="I361" s="2">
        <v>19.451745585813615</v>
      </c>
      <c r="J361" s="2">
        <v>47.433870282240548</v>
      </c>
      <c r="K361" s="2">
        <v>21.951827969416822</v>
      </c>
      <c r="L361" s="2">
        <v>18.671314883898503</v>
      </c>
      <c r="M361" s="2">
        <v>15.027373549854278</v>
      </c>
      <c r="N361" s="2">
        <v>33.071789262646753</v>
      </c>
      <c r="O361" s="2">
        <v>22.673226581618021</v>
      </c>
      <c r="P361" s="2">
        <v>19.277615007454017</v>
      </c>
      <c r="Q361" s="2">
        <v>11.884188151167814</v>
      </c>
      <c r="R361" s="2">
        <v>30.269965590803544</v>
      </c>
    </row>
    <row r="362" spans="1:18">
      <c r="A362" s="1" t="s">
        <v>3</v>
      </c>
      <c r="B362" s="2">
        <v>21.322078400811055</v>
      </c>
      <c r="C362" s="2">
        <v>116.55935509144579</v>
      </c>
      <c r="D362" s="2">
        <v>56.923782845325491</v>
      </c>
      <c r="E362" s="2">
        <v>37.690696778467498</v>
      </c>
      <c r="F362" s="2">
        <v>36.149279314179417</v>
      </c>
      <c r="G362" s="2">
        <v>97.672026236303296</v>
      </c>
      <c r="H362" s="2">
        <v>24.520403211227269</v>
      </c>
      <c r="I362" s="2">
        <v>62.943912954915504</v>
      </c>
      <c r="J362" s="2">
        <v>217.57091422221868</v>
      </c>
      <c r="K362" s="2">
        <v>63.094062980322128</v>
      </c>
      <c r="L362" s="2">
        <v>32.488986869381812</v>
      </c>
      <c r="M362" s="2">
        <v>94.909456256443733</v>
      </c>
      <c r="N362" s="2">
        <v>104.02359323721815</v>
      </c>
      <c r="O362" s="2">
        <v>77.905113941166533</v>
      </c>
      <c r="P362" s="2">
        <v>38.72587721302618</v>
      </c>
      <c r="Q362" s="2">
        <v>33.386448946156179</v>
      </c>
      <c r="R362" s="2">
        <v>42.070230484323758</v>
      </c>
    </row>
    <row r="363" spans="1:18">
      <c r="A363" s="6" t="s">
        <v>27</v>
      </c>
      <c r="B363" s="5">
        <v>73.503463414634155</v>
      </c>
      <c r="C363" s="5">
        <v>71.412195121951228</v>
      </c>
      <c r="D363" s="5">
        <v>76.422829268292702</v>
      </c>
      <c r="E363" s="5">
        <v>71.083390243902457</v>
      </c>
      <c r="F363" s="5">
        <v>70.711829268292689</v>
      </c>
      <c r="G363" s="5">
        <v>77.622731707317072</v>
      </c>
      <c r="H363" s="5">
        <v>61.255878048780495</v>
      </c>
      <c r="I363" s="5">
        <v>65.330707317073177</v>
      </c>
      <c r="J363" s="5">
        <v>71.956341463414645</v>
      </c>
      <c r="K363" s="5">
        <v>74.013243902439029</v>
      </c>
      <c r="L363" s="5">
        <v>69.998926829268285</v>
      </c>
      <c r="M363" s="5">
        <v>66.648024390243904</v>
      </c>
      <c r="N363" s="5">
        <v>72.409463414634146</v>
      </c>
      <c r="O363" s="5">
        <v>72.5</v>
      </c>
      <c r="P363" s="5">
        <v>68.794731707317084</v>
      </c>
      <c r="Q363" s="5">
        <v>74.153902439024392</v>
      </c>
      <c r="R363" s="5">
        <v>72.864146341463439</v>
      </c>
    </row>
    <row r="364" spans="1:18">
      <c r="A364" s="6" t="s">
        <v>48</v>
      </c>
      <c r="B364" s="5">
        <v>84.938860000000005</v>
      </c>
      <c r="C364" s="5">
        <v>92.154290000000003</v>
      </c>
      <c r="D364" s="5">
        <v>79.204229999999995</v>
      </c>
      <c r="E364" s="5">
        <v>61.398069999999997</v>
      </c>
      <c r="F364" s="5">
        <v>72.88355</v>
      </c>
      <c r="G364" s="5">
        <v>62.209110000000003</v>
      </c>
      <c r="H364" s="5">
        <v>45.44509</v>
      </c>
      <c r="I364" s="5">
        <v>50.817727802197801</v>
      </c>
      <c r="J364" s="5">
        <v>66.395240000000001</v>
      </c>
      <c r="K364" s="5">
        <v>70.021469999999994</v>
      </c>
      <c r="L364" s="5">
        <v>83.294619999999995</v>
      </c>
      <c r="M364" s="5">
        <v>74.303030000000007</v>
      </c>
      <c r="N364" s="5">
        <v>57.544277362637402</v>
      </c>
      <c r="O364" s="5">
        <v>73.761219999999994</v>
      </c>
      <c r="P364" s="5">
        <v>69.034719999999993</v>
      </c>
      <c r="Q364" s="5">
        <v>92.164169999999999</v>
      </c>
      <c r="R364" s="5">
        <v>56.891620000000003</v>
      </c>
    </row>
    <row r="365" spans="1:18">
      <c r="A365" s="3" t="s">
        <v>4</v>
      </c>
      <c r="B365" s="2">
        <f>(B359-1708.939)/(42867.55-1708.939)</f>
        <v>0.21315975659120628</v>
      </c>
      <c r="C365" s="2">
        <f t="shared" ref="C365:R365" si="154">(C359-1708.939)/(42867.55-1708.939)</f>
        <v>0.12114373746320747</v>
      </c>
      <c r="D365" s="2">
        <f t="shared" si="154"/>
        <v>0.21717578250460054</v>
      </c>
      <c r="E365" s="2">
        <f t="shared" si="154"/>
        <v>1.8739516426189953E-2</v>
      </c>
      <c r="F365" s="2">
        <f t="shared" si="154"/>
        <v>0.11456586702360613</v>
      </c>
      <c r="G365" s="2">
        <f t="shared" si="154"/>
        <v>0.15660049158196188</v>
      </c>
      <c r="H365" s="2">
        <f t="shared" si="154"/>
        <v>8.0945841937215458E-9</v>
      </c>
      <c r="I365" s="2">
        <f t="shared" si="154"/>
        <v>2.1417520790055388E-2</v>
      </c>
      <c r="J365" s="2">
        <f t="shared" si="154"/>
        <v>0.20091587324677904</v>
      </c>
      <c r="K365" s="2">
        <f t="shared" si="154"/>
        <v>0.23513409074675523</v>
      </c>
      <c r="L365" s="2">
        <f t="shared" si="154"/>
        <v>9.057329441776811E-2</v>
      </c>
      <c r="M365" s="2">
        <f t="shared" si="154"/>
        <v>2.231475691198679E-2</v>
      </c>
      <c r="N365" s="2">
        <f t="shared" si="154"/>
        <v>8.9145250302169327E-2</v>
      </c>
      <c r="O365" s="2">
        <f t="shared" si="154"/>
        <v>0.10053986093642873</v>
      </c>
      <c r="P365" s="2">
        <f t="shared" si="154"/>
        <v>0.18707691056300954</v>
      </c>
      <c r="Q365" s="2">
        <f t="shared" si="154"/>
        <v>0.19595765398809606</v>
      </c>
      <c r="R365" s="2">
        <f t="shared" si="154"/>
        <v>0.18602253358315415</v>
      </c>
    </row>
    <row r="366" spans="1:18">
      <c r="A366" s="3" t="s">
        <v>5</v>
      </c>
      <c r="B366" s="2">
        <f t="shared" ref="B366:R366" si="155">(B360-4318)/(57074-4318)</f>
        <v>0.38697020244142849</v>
      </c>
      <c r="C366" s="2">
        <f t="shared" si="155"/>
        <v>0.14980286602471757</v>
      </c>
      <c r="D366" s="2">
        <f t="shared" si="155"/>
        <v>0.4481196451588445</v>
      </c>
      <c r="E366" s="2">
        <f t="shared" si="155"/>
        <v>0</v>
      </c>
      <c r="F366" s="2">
        <f t="shared" si="155"/>
        <v>0.19929486693456669</v>
      </c>
      <c r="G366" s="2">
        <f t="shared" si="155"/>
        <v>0.22803093486996739</v>
      </c>
      <c r="H366" s="2">
        <f t="shared" si="155"/>
        <v>1.2131321555841989E-2</v>
      </c>
      <c r="I366" s="2">
        <f t="shared" si="155"/>
        <v>5.6808704223216315E-2</v>
      </c>
      <c r="J366" s="2">
        <f t="shared" si="155"/>
        <v>0.26975130790810525</v>
      </c>
      <c r="K366" s="2">
        <f t="shared" si="155"/>
        <v>0.26491773447569944</v>
      </c>
      <c r="L366" s="2">
        <f t="shared" si="155"/>
        <v>0.128137083933581</v>
      </c>
      <c r="M366" s="2">
        <f t="shared" si="155"/>
        <v>4.2668132534688E-2</v>
      </c>
      <c r="N366" s="2">
        <f t="shared" si="155"/>
        <v>0.15154674349836986</v>
      </c>
      <c r="O366" s="2">
        <f t="shared" si="155"/>
        <v>0.16860641443627264</v>
      </c>
      <c r="P366" s="2">
        <f t="shared" si="155"/>
        <v>0.2628137083933581</v>
      </c>
      <c r="Q366" s="2">
        <f t="shared" si="155"/>
        <v>0.39931003108651147</v>
      </c>
      <c r="R366" s="2">
        <f t="shared" si="155"/>
        <v>0.36393964667525969</v>
      </c>
    </row>
    <row r="367" spans="1:18">
      <c r="A367" s="3" t="s">
        <v>6</v>
      </c>
      <c r="B367" s="2">
        <f>(B361-11.884)/(447.434-11.884)</f>
        <v>1.0065254373912282E-2</v>
      </c>
      <c r="C367" s="2">
        <f t="shared" ref="C367:R367" si="156">(C361-11.884)/(447.434-11.884)</f>
        <v>2.9327353741637036E-3</v>
      </c>
      <c r="D367" s="2">
        <f t="shared" si="156"/>
        <v>2.592314243489232E-2</v>
      </c>
      <c r="E367" s="2">
        <f t="shared" si="156"/>
        <v>6.3160921980357401E-2</v>
      </c>
      <c r="F367" s="2">
        <f t="shared" si="156"/>
        <v>3.5357877555783684E-3</v>
      </c>
      <c r="G367" s="2">
        <f t="shared" si="156"/>
        <v>2.5175121088948069E-2</v>
      </c>
      <c r="H367" s="2">
        <f t="shared" si="156"/>
        <v>2.8528597503002011E-2</v>
      </c>
      <c r="I367" s="2">
        <f t="shared" si="156"/>
        <v>1.7375147711660235E-2</v>
      </c>
      <c r="J367" s="2">
        <f t="shared" si="156"/>
        <v>8.1620641217404533E-2</v>
      </c>
      <c r="K367" s="2">
        <f t="shared" si="156"/>
        <v>2.3115205991084426E-2</v>
      </c>
      <c r="L367" s="2">
        <f t="shared" si="156"/>
        <v>1.5583319673742402E-2</v>
      </c>
      <c r="M367" s="2">
        <f t="shared" si="156"/>
        <v>7.2170211223838319E-3</v>
      </c>
      <c r="N367" s="2">
        <f t="shared" si="156"/>
        <v>4.8646055016982555E-2</v>
      </c>
      <c r="O367" s="2">
        <f t="shared" si="156"/>
        <v>2.4771499441207715E-2</v>
      </c>
      <c r="P367" s="2">
        <f t="shared" si="156"/>
        <v>1.6975353019065588E-2</v>
      </c>
      <c r="Q367" s="2">
        <f t="shared" si="156"/>
        <v>4.3198523203742203E-7</v>
      </c>
      <c r="R367" s="2">
        <f t="shared" si="156"/>
        <v>4.2213214535193534E-2</v>
      </c>
    </row>
    <row r="368" spans="1:18">
      <c r="A368" s="3" t="s">
        <v>3</v>
      </c>
      <c r="B368" s="2">
        <f t="shared" ref="B368:R368" si="157">(B362-18.756)/(217.571-18.756)</f>
        <v>1.2906865180248243E-2</v>
      </c>
      <c r="C368" s="2">
        <f t="shared" si="157"/>
        <v>0.49193146941350396</v>
      </c>
      <c r="D368" s="2">
        <f t="shared" si="157"/>
        <v>0.19197637424402328</v>
      </c>
      <c r="E368" s="2">
        <f t="shared" si="157"/>
        <v>9.5237767665757103E-2</v>
      </c>
      <c r="F368" s="2">
        <f t="shared" si="157"/>
        <v>8.7484743677184396E-2</v>
      </c>
      <c r="G368" s="2">
        <f t="shared" si="157"/>
        <v>0.39693195300305961</v>
      </c>
      <c r="H368" s="2">
        <f t="shared" si="157"/>
        <v>2.8993804346891677E-2</v>
      </c>
      <c r="I368" s="2">
        <f t="shared" si="157"/>
        <v>0.22225643414689789</v>
      </c>
      <c r="J368" s="2">
        <f t="shared" si="157"/>
        <v>0.99999956855478045</v>
      </c>
      <c r="K368" s="2">
        <f t="shared" si="157"/>
        <v>0.2230116589810735</v>
      </c>
      <c r="L368" s="2">
        <f t="shared" si="157"/>
        <v>6.9074198975840911E-2</v>
      </c>
      <c r="M368" s="2">
        <f t="shared" si="157"/>
        <v>0.38303677416917098</v>
      </c>
      <c r="N368" s="2">
        <f t="shared" si="157"/>
        <v>0.42887907470371023</v>
      </c>
      <c r="O368" s="2">
        <f t="shared" si="157"/>
        <v>0.29750830642137932</v>
      </c>
      <c r="P368" s="2">
        <f t="shared" si="157"/>
        <v>0.1004445198452138</v>
      </c>
      <c r="Q368" s="2">
        <f t="shared" si="157"/>
        <v>7.3588255142500211E-2</v>
      </c>
      <c r="R368" s="2">
        <f t="shared" si="157"/>
        <v>0.11726595319429499</v>
      </c>
    </row>
    <row r="369" spans="1:18">
      <c r="A369" s="3" t="s">
        <v>7</v>
      </c>
      <c r="B369" s="2">
        <f t="shared" ref="B369:R369" si="158">(B363-61.256)/(80.571-61.256)</f>
        <v>0.63409077994481777</v>
      </c>
      <c r="C369" s="2">
        <f t="shared" si="158"/>
        <v>0.52581905886364122</v>
      </c>
      <c r="D369" s="2">
        <f t="shared" si="158"/>
        <v>0.78523578919454851</v>
      </c>
      <c r="E369" s="2">
        <f t="shared" si="158"/>
        <v>0.50879576722249331</v>
      </c>
      <c r="F369" s="2">
        <f t="shared" si="158"/>
        <v>0.48955885416995548</v>
      </c>
      <c r="G369" s="2">
        <f t="shared" si="158"/>
        <v>0.8473586180335011</v>
      </c>
      <c r="H369" s="2">
        <f t="shared" si="158"/>
        <v>-6.3138089311405023E-6</v>
      </c>
      <c r="I369" s="2">
        <f t="shared" si="158"/>
        <v>0.21096077230510885</v>
      </c>
      <c r="J369" s="2">
        <f t="shared" si="158"/>
        <v>0.55399127431605732</v>
      </c>
      <c r="K369" s="2">
        <f t="shared" si="158"/>
        <v>0.66048376404033293</v>
      </c>
      <c r="L369" s="2">
        <f t="shared" si="158"/>
        <v>0.45264958991810955</v>
      </c>
      <c r="M369" s="2">
        <f t="shared" si="158"/>
        <v>0.27916253638332406</v>
      </c>
      <c r="N369" s="2">
        <f t="shared" si="158"/>
        <v>0.57745086278199054</v>
      </c>
      <c r="O369" s="2">
        <f t="shared" si="158"/>
        <v>0.5821382345327466</v>
      </c>
      <c r="P369" s="2">
        <f t="shared" si="158"/>
        <v>0.39030451500476748</v>
      </c>
      <c r="Q369" s="2">
        <f t="shared" si="158"/>
        <v>0.66776611126194119</v>
      </c>
      <c r="R369" s="2">
        <f t="shared" si="158"/>
        <v>0.600991268002249</v>
      </c>
    </row>
    <row r="370" spans="1:18">
      <c r="A370" s="4" t="s">
        <v>8</v>
      </c>
      <c r="B370" s="2">
        <f t="shared" ref="B370:R370" si="159">(B364-45.445)/(156.496-45.445)</f>
        <v>0.35563713969257366</v>
      </c>
      <c r="C370" s="2">
        <f t="shared" si="159"/>
        <v>0.42061116063790505</v>
      </c>
      <c r="D370" s="2">
        <f t="shared" si="159"/>
        <v>0.30399753266517177</v>
      </c>
      <c r="E370" s="2">
        <f t="shared" si="159"/>
        <v>0.14365534754302073</v>
      </c>
      <c r="F370" s="2">
        <f t="shared" si="159"/>
        <v>0.24708062061575309</v>
      </c>
      <c r="G370" s="2">
        <f t="shared" si="159"/>
        <v>0.15095865863432117</v>
      </c>
      <c r="H370" s="2">
        <f t="shared" si="159"/>
        <v>8.1043844720124542E-7</v>
      </c>
      <c r="I370" s="2">
        <f t="shared" si="159"/>
        <v>4.8380724191567838E-2</v>
      </c>
      <c r="J370" s="2">
        <f t="shared" si="159"/>
        <v>0.18865422193406631</v>
      </c>
      <c r="K370" s="2">
        <f t="shared" si="159"/>
        <v>0.22130795760506425</v>
      </c>
      <c r="L370" s="2">
        <f t="shared" si="159"/>
        <v>0.34083096955452891</v>
      </c>
      <c r="M370" s="2">
        <f t="shared" si="159"/>
        <v>0.25986285580499052</v>
      </c>
      <c r="N370" s="2">
        <f t="shared" si="159"/>
        <v>0.10895243953352424</v>
      </c>
      <c r="O370" s="2">
        <f t="shared" si="159"/>
        <v>0.25498392630413047</v>
      </c>
      <c r="P370" s="2">
        <f t="shared" si="159"/>
        <v>0.2124224005186805</v>
      </c>
      <c r="Q370" s="2">
        <f t="shared" si="159"/>
        <v>0.42070012876966434</v>
      </c>
      <c r="R370" s="2">
        <f t="shared" si="159"/>
        <v>0.1030753437609747</v>
      </c>
    </row>
    <row r="371" spans="1:18">
      <c r="A371" s="3" t="s">
        <v>56</v>
      </c>
      <c r="B371" s="2">
        <f t="shared" ref="B371:R371" si="160">(B365+B366+B367+B368+B369+B370)/6</f>
        <v>0.2688049997040311</v>
      </c>
      <c r="C371" s="2">
        <f t="shared" si="160"/>
        <v>0.28537350462952321</v>
      </c>
      <c r="D371" s="2">
        <f t="shared" si="160"/>
        <v>0.32873804436701354</v>
      </c>
      <c r="E371" s="2">
        <f t="shared" si="160"/>
        <v>0.13826488680630308</v>
      </c>
      <c r="F371" s="2">
        <f t="shared" si="160"/>
        <v>0.19025345669610738</v>
      </c>
      <c r="G371" s="2">
        <f t="shared" si="160"/>
        <v>0.30084262953529323</v>
      </c>
      <c r="H371" s="2">
        <f t="shared" si="160"/>
        <v>1.1608038021639322E-2</v>
      </c>
      <c r="I371" s="2">
        <f t="shared" si="160"/>
        <v>9.6199883894751079E-2</v>
      </c>
      <c r="J371" s="2">
        <f t="shared" si="160"/>
        <v>0.38248881452953215</v>
      </c>
      <c r="K371" s="2">
        <f t="shared" si="160"/>
        <v>0.27132840197333497</v>
      </c>
      <c r="L371" s="2">
        <f t="shared" si="160"/>
        <v>0.18280807607892846</v>
      </c>
      <c r="M371" s="2">
        <f t="shared" si="160"/>
        <v>0.16571034615442404</v>
      </c>
      <c r="N371" s="2">
        <f t="shared" si="160"/>
        <v>0.23410340430612445</v>
      </c>
      <c r="O371" s="2">
        <f t="shared" si="160"/>
        <v>0.23809137367869426</v>
      </c>
      <c r="P371" s="2">
        <f t="shared" si="160"/>
        <v>0.1950062345573492</v>
      </c>
      <c r="Q371" s="2">
        <f t="shared" si="160"/>
        <v>0.29288710203899088</v>
      </c>
      <c r="R371" s="2">
        <f t="shared" si="160"/>
        <v>0.23558465995852099</v>
      </c>
    </row>
    <row r="373" spans="1:18">
      <c r="A373" s="1" t="s">
        <v>9</v>
      </c>
      <c r="B373" s="2" t="s">
        <v>28</v>
      </c>
      <c r="C373" s="2" t="s">
        <v>29</v>
      </c>
      <c r="D373" s="2" t="s">
        <v>30</v>
      </c>
      <c r="E373" s="2" t="s">
        <v>31</v>
      </c>
      <c r="F373" s="2" t="s">
        <v>32</v>
      </c>
      <c r="G373" s="2" t="s">
        <v>33</v>
      </c>
      <c r="H373" s="2" t="s">
        <v>34</v>
      </c>
      <c r="I373" s="2" t="s">
        <v>35</v>
      </c>
      <c r="J373" s="2" t="s">
        <v>36</v>
      </c>
      <c r="K373" s="2" t="s">
        <v>37</v>
      </c>
      <c r="L373" s="2" t="s">
        <v>38</v>
      </c>
      <c r="M373" s="2" t="s">
        <v>39</v>
      </c>
      <c r="N373" s="2" t="s">
        <v>40</v>
      </c>
      <c r="O373" s="2" t="s">
        <v>41</v>
      </c>
      <c r="P373" s="2" t="s">
        <v>42</v>
      </c>
      <c r="Q373" s="2" t="s">
        <v>43</v>
      </c>
      <c r="R373" s="2" t="s">
        <v>44</v>
      </c>
    </row>
    <row r="374" spans="1:18">
      <c r="B374" s="2">
        <v>1999</v>
      </c>
      <c r="C374" s="2">
        <v>1999</v>
      </c>
      <c r="D374" s="2">
        <v>1999</v>
      </c>
      <c r="E374" s="2">
        <v>1999</v>
      </c>
      <c r="F374" s="2">
        <v>1999</v>
      </c>
      <c r="G374" s="2">
        <v>1999</v>
      </c>
      <c r="H374" s="2">
        <v>1999</v>
      </c>
      <c r="I374" s="2">
        <v>1999</v>
      </c>
      <c r="J374" s="2">
        <v>1999</v>
      </c>
      <c r="K374" s="2">
        <v>1999</v>
      </c>
      <c r="L374" s="2">
        <v>1999</v>
      </c>
      <c r="M374" s="2">
        <v>1999</v>
      </c>
      <c r="N374" s="2">
        <v>1999</v>
      </c>
      <c r="O374" s="2">
        <v>1999</v>
      </c>
      <c r="P374" s="2">
        <v>1999</v>
      </c>
      <c r="Q374" s="2">
        <v>1999</v>
      </c>
      <c r="R374" s="2">
        <v>1999</v>
      </c>
    </row>
    <row r="375" spans="1:18">
      <c r="A375" s="1" t="s">
        <v>0</v>
      </c>
      <c r="B375" s="3">
        <v>28754.579513278848</v>
      </c>
      <c r="C375" s="3">
        <v>29394.166397314901</v>
      </c>
      <c r="D375" s="3">
        <v>31106.659136620925</v>
      </c>
      <c r="E375" s="3">
        <v>30676.067487421791</v>
      </c>
      <c r="F375" s="3">
        <v>26005.174944861395</v>
      </c>
      <c r="G375" s="3">
        <v>27395.542347570896</v>
      </c>
      <c r="H375" s="3">
        <v>26752.215999735188</v>
      </c>
      <c r="I375" s="3">
        <v>31670.570651631941</v>
      </c>
      <c r="J375" s="3">
        <v>28300.496370765566</v>
      </c>
      <c r="K375" s="3">
        <v>32645.882763342808</v>
      </c>
      <c r="L375" s="3">
        <v>22267.871169666694</v>
      </c>
      <c r="M375" s="3">
        <v>42867.545447771081</v>
      </c>
      <c r="N375" s="3">
        <v>24140.307093978805</v>
      </c>
      <c r="O375" s="3">
        <v>27948.03235342625</v>
      </c>
      <c r="P375" s="3">
        <v>34783.994499587745</v>
      </c>
      <c r="Q375" s="3">
        <v>28315.328110445906</v>
      </c>
      <c r="R375" s="3">
        <v>39795.518710312499</v>
      </c>
    </row>
    <row r="376" spans="1:18">
      <c r="A376" s="1" t="s">
        <v>1</v>
      </c>
      <c r="B376" s="2">
        <v>44216</v>
      </c>
      <c r="C376" s="2">
        <v>51083</v>
      </c>
      <c r="D376" s="2">
        <v>45953</v>
      </c>
      <c r="E376" s="2">
        <v>43118</v>
      </c>
      <c r="F376" s="2">
        <v>43568</v>
      </c>
      <c r="G376" s="2">
        <v>48626</v>
      </c>
      <c r="H376" s="2">
        <v>46447</v>
      </c>
      <c r="I376" s="2">
        <v>45320</v>
      </c>
      <c r="J376" s="2">
        <v>38670</v>
      </c>
      <c r="K376" s="2">
        <v>42727</v>
      </c>
      <c r="L376" s="2">
        <v>34541</v>
      </c>
      <c r="M376" s="2">
        <v>47334</v>
      </c>
      <c r="N376" s="2">
        <v>38901</v>
      </c>
      <c r="O376" s="2">
        <v>42477</v>
      </c>
      <c r="P376" s="2">
        <v>38969</v>
      </c>
      <c r="Q376" s="2">
        <v>42909</v>
      </c>
      <c r="R376" s="2">
        <v>57074</v>
      </c>
    </row>
    <row r="377" spans="1:18">
      <c r="A377" s="1" t="s">
        <v>2</v>
      </c>
      <c r="B377" s="2">
        <v>26.049923868768914</v>
      </c>
      <c r="C377" s="2">
        <v>25.578017138527358</v>
      </c>
      <c r="D377" s="2">
        <v>23.961947842160498</v>
      </c>
      <c r="E377" s="2">
        <v>24.884937695358694</v>
      </c>
      <c r="F377" s="2">
        <v>28.696626090368781</v>
      </c>
      <c r="G377" s="2">
        <v>20.941433915954441</v>
      </c>
      <c r="H377" s="2">
        <v>22.100080262366077</v>
      </c>
      <c r="I377" s="2">
        <v>37.622043876323893</v>
      </c>
      <c r="J377" s="2">
        <v>26.321738503538896</v>
      </c>
      <c r="K377" s="2">
        <v>27.072474125631484</v>
      </c>
      <c r="L377" s="2">
        <v>21.256760243216902</v>
      </c>
      <c r="M377" s="2">
        <v>30.280967990029232</v>
      </c>
      <c r="N377" s="2">
        <v>23.27129264650603</v>
      </c>
      <c r="O377" s="2">
        <v>24.231664391623539</v>
      </c>
      <c r="P377" s="2">
        <v>27.188166929241298</v>
      </c>
      <c r="Q377" s="2">
        <v>16.639393029783673</v>
      </c>
      <c r="R377" s="2">
        <v>17.50349424793033</v>
      </c>
    </row>
    <row r="378" spans="1:18">
      <c r="A378" s="1" t="s">
        <v>3</v>
      </c>
      <c r="B378" s="2">
        <v>82.928650888583107</v>
      </c>
      <c r="C378" s="2">
        <v>135.75312817893729</v>
      </c>
      <c r="D378" s="2">
        <v>82.708376380871726</v>
      </c>
      <c r="E378" s="2">
        <v>76.27215438662418</v>
      </c>
      <c r="F378" s="2">
        <v>68.524619648302419</v>
      </c>
      <c r="G378" s="2">
        <v>50.576061761826686</v>
      </c>
      <c r="H378" s="2">
        <v>46.64130468075416</v>
      </c>
      <c r="I378" s="2">
        <v>164.58588284247318</v>
      </c>
      <c r="J378" s="2">
        <v>18.756387362963832</v>
      </c>
      <c r="K378" s="2">
        <v>121.86989406850979</v>
      </c>
      <c r="L378" s="2">
        <v>61.053148819895256</v>
      </c>
      <c r="M378" s="2">
        <v>71.434410436414581</v>
      </c>
      <c r="N378" s="2">
        <v>55.1932779484845</v>
      </c>
      <c r="O378" s="2">
        <v>79.696233809899923</v>
      </c>
      <c r="P378" s="2">
        <v>77.687163108119435</v>
      </c>
      <c r="Q378" s="2">
        <v>53.733045427012627</v>
      </c>
      <c r="R378" s="2">
        <v>24.090957961509517</v>
      </c>
    </row>
    <row r="379" spans="1:18">
      <c r="A379" s="6" t="s">
        <v>27</v>
      </c>
      <c r="B379" s="2">
        <v>77.775609756097566</v>
      </c>
      <c r="C379" s="2">
        <v>78.070731707317094</v>
      </c>
      <c r="D379" s="2">
        <v>78.8829268292683</v>
      </c>
      <c r="E379" s="2">
        <v>76.341463414634148</v>
      </c>
      <c r="F379" s="2">
        <v>77.291219512195127</v>
      </c>
      <c r="G379" s="2">
        <v>78.607317073170748</v>
      </c>
      <c r="H379" s="2">
        <v>78.826829268292698</v>
      </c>
      <c r="I379" s="2">
        <v>76.073658536585384</v>
      </c>
      <c r="J379" s="2">
        <v>80.570731707317094</v>
      </c>
      <c r="K379" s="2">
        <v>77.836585365853665</v>
      </c>
      <c r="L379" s="2">
        <v>77.890243902439039</v>
      </c>
      <c r="M379" s="2">
        <v>78.282926829268291</v>
      </c>
      <c r="N379" s="2">
        <v>78.717073170731723</v>
      </c>
      <c r="O379" s="2">
        <v>79.441463414634157</v>
      </c>
      <c r="P379" s="2">
        <v>79.580487804878047</v>
      </c>
      <c r="Q379" s="2">
        <v>77.390243902439039</v>
      </c>
      <c r="R379" s="2">
        <v>76.582926829268303</v>
      </c>
    </row>
    <row r="380" spans="1:18">
      <c r="A380" s="6" t="s">
        <v>8</v>
      </c>
      <c r="B380" s="2">
        <v>97.506399999999999</v>
      </c>
      <c r="C380" s="2">
        <v>141.32631000000001</v>
      </c>
      <c r="D380" s="2">
        <v>102.76992</v>
      </c>
      <c r="E380" s="2">
        <v>124.839</v>
      </c>
      <c r="F380" s="2">
        <v>120.60579</v>
      </c>
      <c r="G380" s="2">
        <v>109.06048</v>
      </c>
      <c r="H380" s="2">
        <v>92.235550000000003</v>
      </c>
      <c r="I380" s="2">
        <v>105.51209</v>
      </c>
      <c r="J380" s="2">
        <v>101.15103999999999</v>
      </c>
      <c r="K380" s="2">
        <v>123.40297</v>
      </c>
      <c r="L380" s="2">
        <v>111.13764999999999</v>
      </c>
      <c r="M380" s="2">
        <v>119.29907</v>
      </c>
      <c r="N380" s="2">
        <v>108.90447</v>
      </c>
      <c r="O380" s="2">
        <v>156.49596</v>
      </c>
      <c r="P380" s="2">
        <v>95.673680000000004</v>
      </c>
      <c r="Q380" s="2">
        <v>100.75003</v>
      </c>
      <c r="R380" s="2">
        <v>93.963440000000006</v>
      </c>
    </row>
    <row r="381" spans="1:18">
      <c r="A381" s="3" t="s">
        <v>4</v>
      </c>
      <c r="B381" s="2">
        <f t="shared" ref="B381:R381" si="161">(B375-1708.939)/(42867.55-1708.939)</f>
        <v>0.65710770738300295</v>
      </c>
      <c r="C381" s="2">
        <f t="shared" si="161"/>
        <v>0.67264727172923544</v>
      </c>
      <c r="D381" s="2">
        <f t="shared" si="161"/>
        <v>0.71425442750293311</v>
      </c>
      <c r="E381" s="2">
        <f t="shared" si="161"/>
        <v>0.70379266412614827</v>
      </c>
      <c r="F381" s="2">
        <f t="shared" si="161"/>
        <v>0.59030748012515277</v>
      </c>
      <c r="G381" s="2">
        <f t="shared" si="161"/>
        <v>0.62408819742655786</v>
      </c>
      <c r="H381" s="2">
        <f t="shared" si="161"/>
        <v>0.60845777812412538</v>
      </c>
      <c r="I381" s="2">
        <f t="shared" si="161"/>
        <v>0.72795536398524086</v>
      </c>
      <c r="J381" s="2">
        <f t="shared" si="161"/>
        <v>0.64607518875614056</v>
      </c>
      <c r="K381" s="2">
        <f t="shared" si="161"/>
        <v>0.75165179318959052</v>
      </c>
      <c r="L381" s="2">
        <f t="shared" si="161"/>
        <v>0.49950500442463164</v>
      </c>
      <c r="M381" s="2">
        <f t="shared" si="161"/>
        <v>0.9999998893978973</v>
      </c>
      <c r="N381" s="2">
        <f t="shared" si="161"/>
        <v>0.54499818018588631</v>
      </c>
      <c r="O381" s="2">
        <f t="shared" si="161"/>
        <v>0.63751163403998856</v>
      </c>
      <c r="P381" s="2">
        <f t="shared" si="161"/>
        <v>0.80359989552581701</v>
      </c>
      <c r="Q381" s="2">
        <f t="shared" si="161"/>
        <v>0.64643554444648055</v>
      </c>
      <c r="R381" s="2">
        <f t="shared" si="161"/>
        <v>0.92536115250129547</v>
      </c>
    </row>
    <row r="382" spans="1:18">
      <c r="A382" s="3" t="s">
        <v>5</v>
      </c>
      <c r="B382" s="2">
        <f>(B376-4318)/(57074-4318)</f>
        <v>0.75627416786716206</v>
      </c>
      <c r="C382" s="2">
        <f t="shared" ref="C382:R382" si="162">(C376-4318)/(57074-4318)</f>
        <v>0.88643945712336036</v>
      </c>
      <c r="D382" s="2">
        <f t="shared" si="162"/>
        <v>0.78919933277731447</v>
      </c>
      <c r="E382" s="2">
        <f t="shared" si="162"/>
        <v>0.73546136932292061</v>
      </c>
      <c r="F382" s="2">
        <f t="shared" si="162"/>
        <v>0.74399120479187197</v>
      </c>
      <c r="G382" s="2">
        <f t="shared" si="162"/>
        <v>0.83986655546288569</v>
      </c>
      <c r="H382" s="2">
        <f t="shared" si="162"/>
        <v>0.79856319660322994</v>
      </c>
      <c r="I382" s="2">
        <f t="shared" si="162"/>
        <v>0.77720069755098942</v>
      </c>
      <c r="J382" s="2">
        <f t="shared" si="162"/>
        <v>0.65114868450981878</v>
      </c>
      <c r="K382" s="2">
        <f t="shared" si="162"/>
        <v>0.7280498900598984</v>
      </c>
      <c r="L382" s="2">
        <f t="shared" si="162"/>
        <v>0.57288270528470697</v>
      </c>
      <c r="M382" s="2">
        <f t="shared" si="162"/>
        <v>0.81537645007202975</v>
      </c>
      <c r="N382" s="2">
        <f t="shared" si="162"/>
        <v>0.65552733338388047</v>
      </c>
      <c r="O382" s="2">
        <f t="shared" si="162"/>
        <v>0.72331109257714765</v>
      </c>
      <c r="P382" s="2">
        <f t="shared" si="162"/>
        <v>0.65681628629918876</v>
      </c>
      <c r="Q382" s="2">
        <f t="shared" si="162"/>
        <v>0.73149973462734097</v>
      </c>
      <c r="R382" s="2">
        <f t="shared" si="162"/>
        <v>1</v>
      </c>
    </row>
    <row r="383" spans="1:18">
      <c r="A383" s="3" t="s">
        <v>6</v>
      </c>
      <c r="B383" s="2">
        <f t="shared" ref="B383:R383" si="163">(B377-11.884)/(447.434-11.884)</f>
        <v>3.2524219650485395E-2</v>
      </c>
      <c r="C383" s="2">
        <f t="shared" si="163"/>
        <v>3.1440746501038591E-2</v>
      </c>
      <c r="D383" s="2">
        <f t="shared" si="163"/>
        <v>2.7730335993939842E-2</v>
      </c>
      <c r="E383" s="2">
        <f t="shared" si="163"/>
        <v>2.9849472380573283E-2</v>
      </c>
      <c r="F383" s="2">
        <f t="shared" si="163"/>
        <v>3.8600909402752334E-2</v>
      </c>
      <c r="G383" s="2">
        <f t="shared" si="163"/>
        <v>2.0795394136045094E-2</v>
      </c>
      <c r="H383" s="2">
        <f t="shared" si="163"/>
        <v>2.3455585495043226E-2</v>
      </c>
      <c r="I383" s="2">
        <f t="shared" si="163"/>
        <v>5.909320141504739E-2</v>
      </c>
      <c r="J383" s="2">
        <f t="shared" si="163"/>
        <v>3.3148291823071739E-2</v>
      </c>
      <c r="K383" s="2">
        <f t="shared" si="163"/>
        <v>3.4871941512183403E-2</v>
      </c>
      <c r="L383" s="2">
        <f t="shared" si="163"/>
        <v>2.1519366876861214E-2</v>
      </c>
      <c r="M383" s="2">
        <f t="shared" si="163"/>
        <v>4.2238475467866451E-2</v>
      </c>
      <c r="N383" s="2">
        <f t="shared" si="163"/>
        <v>2.6144627818863574E-2</v>
      </c>
      <c r="O383" s="2">
        <f t="shared" si="163"/>
        <v>2.8349591072491191E-2</v>
      </c>
      <c r="P383" s="2">
        <f t="shared" si="163"/>
        <v>3.5137566133030186E-2</v>
      </c>
      <c r="Q383" s="2">
        <f t="shared" si="163"/>
        <v>1.0918133462940356E-2</v>
      </c>
      <c r="R383" s="2">
        <f t="shared" si="163"/>
        <v>1.2902064626174561E-2</v>
      </c>
    </row>
    <row r="384" spans="1:18">
      <c r="A384" s="3" t="s">
        <v>3</v>
      </c>
      <c r="B384" s="2">
        <f>(B378-18.756)/(217.571-18.756)</f>
        <v>0.32277570046818954</v>
      </c>
      <c r="C384" s="2">
        <f t="shared" ref="C384:R384" si="164">(C378-18.756)/(217.571-18.756)</f>
        <v>0.58847233950626099</v>
      </c>
      <c r="D384" s="2">
        <f t="shared" si="164"/>
        <v>0.32166776340251857</v>
      </c>
      <c r="E384" s="2">
        <f t="shared" si="164"/>
        <v>0.28929484388312843</v>
      </c>
      <c r="F384" s="2">
        <f t="shared" si="164"/>
        <v>0.25032628145915758</v>
      </c>
      <c r="G384" s="2">
        <f t="shared" si="164"/>
        <v>0.16004859674484664</v>
      </c>
      <c r="H384" s="2">
        <f t="shared" si="164"/>
        <v>0.14025754938387022</v>
      </c>
      <c r="I384" s="2">
        <f t="shared" si="164"/>
        <v>0.73349537430512379</v>
      </c>
      <c r="J384" s="2">
        <f t="shared" si="164"/>
        <v>1.948358845315244E-6</v>
      </c>
      <c r="K384" s="2">
        <f t="shared" si="164"/>
        <v>0.51864242672087013</v>
      </c>
      <c r="L384" s="2">
        <f t="shared" si="164"/>
        <v>0.21274626572389033</v>
      </c>
      <c r="M384" s="2">
        <f t="shared" si="164"/>
        <v>0.26496195174616893</v>
      </c>
      <c r="N384" s="2">
        <f t="shared" si="164"/>
        <v>0.18327227798951035</v>
      </c>
      <c r="O384" s="2">
        <f t="shared" si="164"/>
        <v>0.3065172839569445</v>
      </c>
      <c r="P384" s="2">
        <f t="shared" si="164"/>
        <v>0.29641205697819295</v>
      </c>
      <c r="Q384" s="2">
        <f t="shared" si="164"/>
        <v>0.17592759815412634</v>
      </c>
      <c r="R384" s="2">
        <f t="shared" si="164"/>
        <v>2.6833779953773694E-2</v>
      </c>
    </row>
    <row r="385" spans="1:18">
      <c r="A385" s="3" t="s">
        <v>7</v>
      </c>
      <c r="B385" s="2">
        <f>(B379-61.256)/(80.571-61.256)</f>
        <v>0.85527360891004756</v>
      </c>
      <c r="C385" s="2">
        <f t="shared" ref="C385:R385" si="165">(C379-61.256)/(80.571-61.256)</f>
        <v>0.87055302652431255</v>
      </c>
      <c r="D385" s="2">
        <f t="shared" si="165"/>
        <v>0.91260299400819578</v>
      </c>
      <c r="E385" s="2">
        <f t="shared" si="165"/>
        <v>0.78102321587544132</v>
      </c>
      <c r="F385" s="2">
        <f t="shared" si="165"/>
        <v>0.83019515983407344</v>
      </c>
      <c r="G385" s="2">
        <f t="shared" si="165"/>
        <v>0.89833378582297441</v>
      </c>
      <c r="H385" s="2">
        <f t="shared" si="165"/>
        <v>0.90969864189969973</v>
      </c>
      <c r="I385" s="2">
        <f t="shared" si="165"/>
        <v>0.76715809146183722</v>
      </c>
      <c r="J385" s="2">
        <f t="shared" si="165"/>
        <v>0.99998610962035184</v>
      </c>
      <c r="K385" s="2">
        <f t="shared" si="165"/>
        <v>0.85843051337580467</v>
      </c>
      <c r="L385" s="2">
        <f t="shared" si="165"/>
        <v>0.86120858930567123</v>
      </c>
      <c r="M385" s="2">
        <f t="shared" si="165"/>
        <v>0.88153905406514588</v>
      </c>
      <c r="N385" s="2">
        <f t="shared" si="165"/>
        <v>0.90401621386133701</v>
      </c>
      <c r="O385" s="2">
        <f t="shared" si="165"/>
        <v>0.94152023891453063</v>
      </c>
      <c r="P385" s="2">
        <f t="shared" si="165"/>
        <v>0.948717981096456</v>
      </c>
      <c r="Q385" s="2">
        <f t="shared" si="165"/>
        <v>0.83532197268646335</v>
      </c>
      <c r="R385" s="2">
        <f t="shared" si="165"/>
        <v>0.79352455755983975</v>
      </c>
    </row>
    <row r="386" spans="1:18">
      <c r="A386" s="4" t="s">
        <v>8</v>
      </c>
      <c r="B386" s="2">
        <f>(B380-45.445)/(156.496-45.445)</f>
        <v>0.46880622416727441</v>
      </c>
      <c r="C386" s="2">
        <f t="shared" ref="C386:R386" si="166">(C380-45.445)/(156.496-45.445)</f>
        <v>0.86339888879884019</v>
      </c>
      <c r="D386" s="2">
        <f t="shared" si="166"/>
        <v>0.51620354611844999</v>
      </c>
      <c r="E386" s="2">
        <f t="shared" si="166"/>
        <v>0.71493277863324056</v>
      </c>
      <c r="F386" s="2">
        <f t="shared" si="166"/>
        <v>0.67681326597689329</v>
      </c>
      <c r="G386" s="2">
        <f t="shared" si="166"/>
        <v>0.57284923143420585</v>
      </c>
      <c r="H386" s="2">
        <f t="shared" si="166"/>
        <v>0.42134289650701023</v>
      </c>
      <c r="I386" s="2">
        <f t="shared" si="166"/>
        <v>0.54089643497131945</v>
      </c>
      <c r="J386" s="2">
        <f t="shared" si="166"/>
        <v>0.50162573952508294</v>
      </c>
      <c r="K386" s="2">
        <f t="shared" si="166"/>
        <v>0.70200151281843459</v>
      </c>
      <c r="L386" s="2">
        <f t="shared" si="166"/>
        <v>0.59155388064943115</v>
      </c>
      <c r="M386" s="2">
        <f t="shared" si="166"/>
        <v>0.6650464201132813</v>
      </c>
      <c r="N386" s="2">
        <f t="shared" si="166"/>
        <v>0.57144438141034293</v>
      </c>
      <c r="O386" s="2">
        <f t="shared" si="166"/>
        <v>0.99999963980513451</v>
      </c>
      <c r="P386" s="2">
        <f t="shared" si="166"/>
        <v>0.4523028158233604</v>
      </c>
      <c r="Q386" s="2">
        <f t="shared" si="166"/>
        <v>0.49801469595050912</v>
      </c>
      <c r="R386" s="2">
        <f t="shared" si="166"/>
        <v>0.43690232415736913</v>
      </c>
    </row>
    <row r="387" spans="1:18">
      <c r="A387" s="4" t="s">
        <v>56</v>
      </c>
      <c r="B387" s="2">
        <f>(B381+B382+B383+B384+B385+B386)/6</f>
        <v>0.51546027140769357</v>
      </c>
      <c r="C387" s="2">
        <f t="shared" ref="C387:R387" si="167">(C381+C382+C383+C384+C385+C386)/6</f>
        <v>0.65215862169717465</v>
      </c>
      <c r="D387" s="2">
        <f t="shared" si="167"/>
        <v>0.54694306663389203</v>
      </c>
      <c r="E387" s="2">
        <f t="shared" si="167"/>
        <v>0.54239239070357537</v>
      </c>
      <c r="F387" s="2">
        <f t="shared" si="167"/>
        <v>0.52170571693165024</v>
      </c>
      <c r="G387" s="2">
        <f t="shared" si="167"/>
        <v>0.51933029350458593</v>
      </c>
      <c r="H387" s="2">
        <f t="shared" si="167"/>
        <v>0.48362927466882977</v>
      </c>
      <c r="I387" s="2">
        <f t="shared" si="167"/>
        <v>0.60096652728159305</v>
      </c>
      <c r="J387" s="2">
        <f t="shared" si="167"/>
        <v>0.47199766043221852</v>
      </c>
      <c r="K387" s="2">
        <f t="shared" si="167"/>
        <v>0.5989413462794636</v>
      </c>
      <c r="L387" s="2">
        <f t="shared" si="167"/>
        <v>0.45990263537753212</v>
      </c>
      <c r="M387" s="2">
        <f t="shared" si="167"/>
        <v>0.61152704014373149</v>
      </c>
      <c r="N387" s="2">
        <f t="shared" si="167"/>
        <v>0.48090050244163679</v>
      </c>
      <c r="O387" s="2">
        <f t="shared" si="167"/>
        <v>0.60620158006103952</v>
      </c>
      <c r="P387" s="2">
        <f t="shared" si="167"/>
        <v>0.53216443364267418</v>
      </c>
      <c r="Q387" s="2">
        <f t="shared" si="167"/>
        <v>0.4830196132213101</v>
      </c>
      <c r="R387" s="2">
        <f t="shared" si="167"/>
        <v>0.5325873131330755</v>
      </c>
    </row>
    <row r="390" spans="1:18">
      <c r="A390" s="1" t="s">
        <v>9</v>
      </c>
      <c r="B390" s="2" t="s">
        <v>10</v>
      </c>
      <c r="C390" s="2" t="s">
        <v>11</v>
      </c>
      <c r="D390" s="2" t="s">
        <v>12</v>
      </c>
      <c r="E390" s="2" t="s">
        <v>13</v>
      </c>
      <c r="F390" s="2" t="s">
        <v>14</v>
      </c>
      <c r="G390" s="2" t="s">
        <v>15</v>
      </c>
      <c r="H390" s="2" t="s">
        <v>16</v>
      </c>
      <c r="I390" s="2" t="s">
        <v>17</v>
      </c>
      <c r="J390" s="2" t="s">
        <v>18</v>
      </c>
      <c r="K390" s="2" t="s">
        <v>19</v>
      </c>
      <c r="L390" s="2" t="s">
        <v>20</v>
      </c>
      <c r="M390" s="2" t="s">
        <v>21</v>
      </c>
      <c r="N390" s="2" t="s">
        <v>22</v>
      </c>
      <c r="O390" s="2" t="s">
        <v>23</v>
      </c>
      <c r="P390" s="2" t="s">
        <v>24</v>
      </c>
      <c r="Q390" s="2" t="s">
        <v>25</v>
      </c>
      <c r="R390" s="2" t="s">
        <v>26</v>
      </c>
    </row>
    <row r="391" spans="1:18">
      <c r="B391" s="2">
        <v>1998</v>
      </c>
      <c r="C391" s="2">
        <v>1998</v>
      </c>
      <c r="D391" s="2">
        <v>1998</v>
      </c>
      <c r="E391" s="2">
        <v>1998</v>
      </c>
      <c r="F391" s="2">
        <v>1998</v>
      </c>
      <c r="G391" s="2">
        <v>1998</v>
      </c>
      <c r="H391" s="2">
        <v>1998</v>
      </c>
      <c r="I391" s="2">
        <v>1998</v>
      </c>
      <c r="J391" s="2">
        <v>1998</v>
      </c>
      <c r="K391" s="2">
        <v>1998</v>
      </c>
      <c r="L391" s="2">
        <v>1998</v>
      </c>
      <c r="M391" s="2">
        <v>1998</v>
      </c>
      <c r="N391" s="2">
        <v>1998</v>
      </c>
      <c r="O391" s="2">
        <v>1998</v>
      </c>
      <c r="P391" s="2">
        <v>1998</v>
      </c>
      <c r="Q391" s="2">
        <v>1998</v>
      </c>
      <c r="R391" s="2">
        <v>1998</v>
      </c>
    </row>
    <row r="392" spans="1:18">
      <c r="A392" s="1" t="s">
        <v>0</v>
      </c>
      <c r="B392" s="3">
        <v>10971.36067874159</v>
      </c>
      <c r="C392" s="3">
        <v>6529.370259322729</v>
      </c>
      <c r="D392" s="3">
        <v>10866.702970099326</v>
      </c>
      <c r="E392" s="3">
        <v>2325.0927749438547</v>
      </c>
      <c r="F392" s="3">
        <v>6822.0572446206279</v>
      </c>
      <c r="G392" s="3">
        <v>7717.9828168441672</v>
      </c>
      <c r="H392" s="3">
        <v>1596.959576892483</v>
      </c>
      <c r="I392" s="3">
        <v>2607.5469501627285</v>
      </c>
      <c r="J392" s="3">
        <v>9628.8515563126766</v>
      </c>
      <c r="K392" s="3">
        <v>11271.369943481872</v>
      </c>
      <c r="L392" s="3">
        <v>5474.0514088542914</v>
      </c>
      <c r="M392" s="3">
        <v>2604.5006299739994</v>
      </c>
      <c r="N392" s="3">
        <v>5209.9045886492077</v>
      </c>
      <c r="O392" s="3">
        <v>5585.6352841473781</v>
      </c>
      <c r="P392" s="3">
        <v>9885.0089889020928</v>
      </c>
      <c r="Q392" s="3">
        <v>10019.681078044123</v>
      </c>
      <c r="R392" s="3">
        <v>10156.10960848679</v>
      </c>
    </row>
    <row r="393" spans="1:18">
      <c r="A393" s="1" t="s">
        <v>1</v>
      </c>
      <c r="B393" s="2">
        <v>25601</v>
      </c>
      <c r="C393" s="2">
        <v>11196</v>
      </c>
      <c r="D393" s="2">
        <v>28693</v>
      </c>
      <c r="E393" s="2">
        <v>4097</v>
      </c>
      <c r="F393" s="2">
        <v>15904</v>
      </c>
      <c r="G393" s="2">
        <v>15641</v>
      </c>
      <c r="H393" s="2">
        <v>4727</v>
      </c>
      <c r="I393" s="2">
        <v>7353</v>
      </c>
      <c r="J393" s="2">
        <v>17960</v>
      </c>
      <c r="K393" s="2">
        <v>17827</v>
      </c>
      <c r="L393" s="2">
        <v>11278</v>
      </c>
      <c r="M393" s="2">
        <v>6618</v>
      </c>
      <c r="N393" s="2">
        <v>12007</v>
      </c>
      <c r="O393" s="2">
        <v>12733</v>
      </c>
      <c r="P393" s="2">
        <v>19044</v>
      </c>
      <c r="Q393" s="2">
        <v>25617</v>
      </c>
      <c r="R393" s="2">
        <v>25794</v>
      </c>
    </row>
    <row r="394" spans="1:18">
      <c r="A394" s="1" t="s">
        <v>2</v>
      </c>
      <c r="B394" s="2">
        <v>17.388361295074745</v>
      </c>
      <c r="C394" s="2">
        <v>17.84805090639933</v>
      </c>
      <c r="D394" s="2">
        <v>23.632733032902564</v>
      </c>
      <c r="E394" s="2">
        <v>41.401197694278459</v>
      </c>
      <c r="F394" s="2">
        <v>13.833857801284054</v>
      </c>
      <c r="G394" s="2">
        <v>17.82082153249306</v>
      </c>
      <c r="H394" s="2">
        <v>21.880110678501318</v>
      </c>
      <c r="I394" s="2">
        <v>26.525040273947809</v>
      </c>
      <c r="J394" s="2">
        <v>48.670575400658734</v>
      </c>
      <c r="K394" s="2">
        <v>22.215790295455829</v>
      </c>
      <c r="L394" s="2">
        <v>18.21202691745685</v>
      </c>
      <c r="M394" s="2">
        <v>14.252577427625933</v>
      </c>
      <c r="N394" s="2">
        <v>36.334986996624188</v>
      </c>
      <c r="O394" s="2">
        <v>21.977242976538115</v>
      </c>
      <c r="P394" s="2">
        <v>23.27083143438</v>
      </c>
      <c r="Q394" s="2">
        <v>14.537383831276756</v>
      </c>
      <c r="R394" s="2">
        <v>28.901982559842931</v>
      </c>
    </row>
    <row r="395" spans="1:18">
      <c r="A395" s="1" t="s">
        <v>3</v>
      </c>
      <c r="B395" s="2">
        <v>23.316602599093734</v>
      </c>
      <c r="C395" s="2">
        <v>117.17807832022072</v>
      </c>
      <c r="D395" s="2">
        <v>55.865892841614638</v>
      </c>
      <c r="E395" s="2">
        <v>36.393253766292389</v>
      </c>
      <c r="F395" s="2">
        <v>35.908923053513782</v>
      </c>
      <c r="G395" s="2">
        <v>97.573195929029353</v>
      </c>
      <c r="H395" s="2">
        <v>23.291017059731516</v>
      </c>
      <c r="I395" s="2">
        <v>96.186194238847136</v>
      </c>
      <c r="J395" s="2">
        <v>209.49221357513804</v>
      </c>
      <c r="K395" s="2">
        <v>63.508494551767868</v>
      </c>
      <c r="L395" s="2">
        <v>31.667928826513087</v>
      </c>
      <c r="M395" s="2">
        <v>98.662244179471529</v>
      </c>
      <c r="N395" s="2">
        <v>101.86780809739346</v>
      </c>
      <c r="O395" s="2">
        <v>79.979458262007853</v>
      </c>
      <c r="P395" s="2">
        <v>41.517964999489266</v>
      </c>
      <c r="Q395" s="2">
        <v>35.64001537948517</v>
      </c>
      <c r="R395" s="2">
        <v>43.59939293343664</v>
      </c>
    </row>
    <row r="396" spans="1:18">
      <c r="A396" s="6" t="s">
        <v>27</v>
      </c>
      <c r="B396" s="5">
        <v>73.286463414634156</v>
      </c>
      <c r="C396" s="5">
        <v>71.060975609756113</v>
      </c>
      <c r="D396" s="5">
        <v>76.033024390243909</v>
      </c>
      <c r="E396" s="5">
        <v>70.927097560975625</v>
      </c>
      <c r="F396" s="5">
        <v>70.405195121951223</v>
      </c>
      <c r="G396" s="5">
        <v>77.430365853658557</v>
      </c>
      <c r="H396" s="5">
        <v>60.895341463414645</v>
      </c>
      <c r="I396" s="5">
        <v>65.003560975609759</v>
      </c>
      <c r="J396" s="5">
        <v>71.764707317073174</v>
      </c>
      <c r="K396" s="5">
        <v>73.731878048780501</v>
      </c>
      <c r="L396" s="5">
        <v>69.504634146341473</v>
      </c>
      <c r="M396" s="5">
        <v>66.495390243902463</v>
      </c>
      <c r="N396" s="5">
        <v>72.330292682926839</v>
      </c>
      <c r="O396" s="5">
        <v>72.051219512195118</v>
      </c>
      <c r="P396" s="5">
        <v>68.119048780487802</v>
      </c>
      <c r="Q396" s="5">
        <v>73.954146341463414</v>
      </c>
      <c r="R396" s="5">
        <v>72.729268292682946</v>
      </c>
    </row>
    <row r="397" spans="1:18">
      <c r="A397" s="6" t="s">
        <v>48</v>
      </c>
      <c r="B397" s="5">
        <v>81.430090000000007</v>
      </c>
      <c r="C397" s="5">
        <v>91.951170000000005</v>
      </c>
      <c r="D397" s="5">
        <v>77.507570000000001</v>
      </c>
      <c r="E397" s="5">
        <v>58.4266273076923</v>
      </c>
      <c r="F397" s="5">
        <v>72.733760000000004</v>
      </c>
      <c r="G397" s="5">
        <v>57.314160000000001</v>
      </c>
      <c r="H397" s="5">
        <v>47.667977846153804</v>
      </c>
      <c r="I397" s="5">
        <v>49.3200723076923</v>
      </c>
      <c r="J397" s="5">
        <v>66.990229999999997</v>
      </c>
      <c r="K397" s="5">
        <v>67.774320000000003</v>
      </c>
      <c r="L397" s="5">
        <v>81.845119999999994</v>
      </c>
      <c r="M397" s="5">
        <v>74.476470000000006</v>
      </c>
      <c r="N397" s="5">
        <v>60.829790000000003</v>
      </c>
      <c r="O397" s="5">
        <v>69.782079999999993</v>
      </c>
      <c r="P397" s="5">
        <v>64.148838909090998</v>
      </c>
      <c r="Q397" s="5">
        <v>89.199089999999998</v>
      </c>
      <c r="R397" s="5">
        <v>55.6761030555556</v>
      </c>
    </row>
    <row r="398" spans="1:18">
      <c r="A398" s="3" t="s">
        <v>4</v>
      </c>
      <c r="B398" s="2">
        <f>(B392-1596.96)/(42305.11-1596.96)</f>
        <v>0.23028314179695195</v>
      </c>
      <c r="C398" s="2">
        <f t="shared" ref="C398:R398" si="168">(C392-1596.96)/(42305.11-1596.96)</f>
        <v>0.1211651784549956</v>
      </c>
      <c r="D398" s="2">
        <f t="shared" si="168"/>
        <v>0.22771221414137774</v>
      </c>
      <c r="E398" s="2">
        <f t="shared" si="168"/>
        <v>1.7886658444165471E-2</v>
      </c>
      <c r="F398" s="2">
        <f t="shared" si="168"/>
        <v>0.12835506513119924</v>
      </c>
      <c r="G398" s="2">
        <f t="shared" si="168"/>
        <v>0.15036357134490677</v>
      </c>
      <c r="H398" s="2">
        <f t="shared" si="168"/>
        <v>-1.0393680798765055E-8</v>
      </c>
      <c r="I398" s="2">
        <f t="shared" si="168"/>
        <v>2.4825175061080607E-2</v>
      </c>
      <c r="J398" s="2">
        <f t="shared" si="168"/>
        <v>0.1973042635519589</v>
      </c>
      <c r="K398" s="2">
        <f t="shared" si="168"/>
        <v>0.23765290104025535</v>
      </c>
      <c r="L398" s="2">
        <f t="shared" si="168"/>
        <v>9.5241159543096185E-2</v>
      </c>
      <c r="M398" s="2">
        <f t="shared" si="168"/>
        <v>2.4750341884217271E-2</v>
      </c>
      <c r="N398" s="2">
        <f t="shared" si="168"/>
        <v>8.87523650337637E-2</v>
      </c>
      <c r="O398" s="2">
        <f t="shared" si="168"/>
        <v>9.7982229213250366E-2</v>
      </c>
      <c r="P398" s="2">
        <f t="shared" si="168"/>
        <v>0.20359679791152616</v>
      </c>
      <c r="Q398" s="2">
        <f t="shared" si="168"/>
        <v>0.20690503199099256</v>
      </c>
      <c r="R398" s="2">
        <f t="shared" si="168"/>
        <v>0.21025641323633695</v>
      </c>
    </row>
    <row r="399" spans="1:18">
      <c r="A399" s="3" t="s">
        <v>5</v>
      </c>
      <c r="B399" s="2">
        <f>(B393-4097)/(55329-4097)</f>
        <v>0.41973766396002499</v>
      </c>
      <c r="C399" s="2">
        <f t="shared" ref="C399:R399" si="169">(C393-4097)/(55329-4097)</f>
        <v>0.1385657401623985</v>
      </c>
      <c r="D399" s="2">
        <f t="shared" si="169"/>
        <v>0.48009056839475328</v>
      </c>
      <c r="E399" s="2">
        <f t="shared" si="169"/>
        <v>0</v>
      </c>
      <c r="F399" s="2">
        <f t="shared" si="169"/>
        <v>0.23046143035602748</v>
      </c>
      <c r="G399" s="2">
        <f t="shared" si="169"/>
        <v>0.22532792004996877</v>
      </c>
      <c r="H399" s="2">
        <f t="shared" si="169"/>
        <v>1.2297001873828857E-2</v>
      </c>
      <c r="I399" s="2">
        <f t="shared" si="169"/>
        <v>6.3554028732042467E-2</v>
      </c>
      <c r="J399" s="2">
        <f t="shared" si="169"/>
        <v>0.27059259837601501</v>
      </c>
      <c r="K399" s="2">
        <f t="shared" si="169"/>
        <v>0.26799656464709559</v>
      </c>
      <c r="L399" s="2">
        <f t="shared" si="169"/>
        <v>0.14016630231105559</v>
      </c>
      <c r="M399" s="2">
        <f t="shared" si="169"/>
        <v>4.9207526545908806E-2</v>
      </c>
      <c r="N399" s="2">
        <f t="shared" si="169"/>
        <v>0.15439569019362898</v>
      </c>
      <c r="O399" s="2">
        <f t="shared" si="169"/>
        <v>0.16856652092442223</v>
      </c>
      <c r="P399" s="2">
        <f t="shared" si="169"/>
        <v>0.29175124921923795</v>
      </c>
      <c r="Q399" s="2">
        <f t="shared" si="169"/>
        <v>0.42004996876951906</v>
      </c>
      <c r="R399" s="2">
        <f t="shared" si="169"/>
        <v>0.42350484072454714</v>
      </c>
    </row>
    <row r="400" spans="1:18">
      <c r="A400" s="3" t="s">
        <v>6</v>
      </c>
      <c r="B400" s="2">
        <f>(B394-13.834)/(48.671-13.834)</f>
        <v>0.10202834041607328</v>
      </c>
      <c r="C400" s="2">
        <f t="shared" ref="C400:R400" si="170">(C394-13.834)/(48.671-13.834)</f>
        <v>0.11522378236930073</v>
      </c>
      <c r="D400" s="2">
        <f t="shared" si="170"/>
        <v>0.28127373289613239</v>
      </c>
      <c r="E400" s="2">
        <f t="shared" si="170"/>
        <v>0.79131950783013627</v>
      </c>
      <c r="F400" s="2">
        <f t="shared" si="170"/>
        <v>-4.081830121575934E-6</v>
      </c>
      <c r="G400" s="2">
        <f t="shared" si="170"/>
        <v>0.1144421601312702</v>
      </c>
      <c r="H400" s="2">
        <f t="shared" si="170"/>
        <v>0.23096451125244186</v>
      </c>
      <c r="I400" s="2">
        <f t="shared" si="170"/>
        <v>0.36429773728931331</v>
      </c>
      <c r="J400" s="2">
        <f t="shared" si="170"/>
        <v>0.99998781182819207</v>
      </c>
      <c r="K400" s="2">
        <f t="shared" si="170"/>
        <v>0.24060023238096934</v>
      </c>
      <c r="L400" s="2">
        <f t="shared" si="170"/>
        <v>0.12567175467051842</v>
      </c>
      <c r="M400" s="2">
        <f t="shared" si="170"/>
        <v>1.2015312099949299E-2</v>
      </c>
      <c r="N400" s="2">
        <f t="shared" si="170"/>
        <v>0.6458933604106033</v>
      </c>
      <c r="O400" s="2">
        <f t="shared" si="170"/>
        <v>0.23375270478336579</v>
      </c>
      <c r="P400" s="2">
        <f t="shared" si="170"/>
        <v>0.27088530683985418</v>
      </c>
      <c r="Q400" s="2">
        <f t="shared" si="170"/>
        <v>2.019071192343647E-2</v>
      </c>
      <c r="R400" s="2">
        <f t="shared" si="170"/>
        <v>0.43252813272793095</v>
      </c>
    </row>
    <row r="401" spans="1:18">
      <c r="A401" s="3" t="s">
        <v>3</v>
      </c>
      <c r="B401" s="2">
        <f t="shared" ref="B401:R401" si="171">(B395-19.689)/(209.492-19.689)</f>
        <v>1.9112461863583476E-2</v>
      </c>
      <c r="C401" s="2">
        <f t="shared" si="171"/>
        <v>0.51363296850008022</v>
      </c>
      <c r="D401" s="2">
        <f t="shared" si="171"/>
        <v>0.19060232368094623</v>
      </c>
      <c r="E401" s="2">
        <f t="shared" si="171"/>
        <v>8.800837587547293E-2</v>
      </c>
      <c r="F401" s="2">
        <f t="shared" si="171"/>
        <v>8.5456621094049001E-2</v>
      </c>
      <c r="G401" s="2">
        <f t="shared" si="171"/>
        <v>0.41034228083343965</v>
      </c>
      <c r="H401" s="2">
        <f t="shared" si="171"/>
        <v>1.8977661363263572E-2</v>
      </c>
      <c r="I401" s="2">
        <f t="shared" si="171"/>
        <v>0.40303469512519363</v>
      </c>
      <c r="J401" s="2">
        <f t="shared" si="171"/>
        <v>1.0000011252463767</v>
      </c>
      <c r="K401" s="2">
        <f t="shared" si="171"/>
        <v>0.23086829266011533</v>
      </c>
      <c r="L401" s="2">
        <f t="shared" si="171"/>
        <v>6.3112431450046039E-2</v>
      </c>
      <c r="M401" s="2">
        <f t="shared" si="171"/>
        <v>0.41608006290454591</v>
      </c>
      <c r="N401" s="2">
        <f t="shared" si="171"/>
        <v>0.43296896306904248</v>
      </c>
      <c r="O401" s="2">
        <f t="shared" si="171"/>
        <v>0.3176475517352616</v>
      </c>
      <c r="P401" s="2">
        <f t="shared" si="171"/>
        <v>0.11500853516271747</v>
      </c>
      <c r="Q401" s="2">
        <f t="shared" si="171"/>
        <v>8.4039848577130871E-2</v>
      </c>
      <c r="R401" s="2">
        <f t="shared" si="171"/>
        <v>0.12597478929962455</v>
      </c>
    </row>
    <row r="402" spans="1:18">
      <c r="A402" s="3" t="s">
        <v>7</v>
      </c>
      <c r="B402" s="2">
        <f t="shared" ref="B402:R402" si="172">(B396-60.895)/(80.501-60.895)</f>
        <v>0.63202404440651594</v>
      </c>
      <c r="C402" s="2">
        <f t="shared" si="172"/>
        <v>0.51851349636622002</v>
      </c>
      <c r="D402" s="2">
        <f t="shared" si="172"/>
        <v>0.7721118224137461</v>
      </c>
      <c r="E402" s="2">
        <f t="shared" si="172"/>
        <v>0.51168507400671326</v>
      </c>
      <c r="F402" s="2">
        <f t="shared" si="172"/>
        <v>0.48506554738096602</v>
      </c>
      <c r="G402" s="2">
        <f t="shared" si="172"/>
        <v>0.84338293653262031</v>
      </c>
      <c r="H402" s="2">
        <f t="shared" si="172"/>
        <v>1.7416271276260445E-5</v>
      </c>
      <c r="I402" s="2">
        <f t="shared" si="172"/>
        <v>0.20955630804905412</v>
      </c>
      <c r="J402" s="2">
        <f t="shared" si="172"/>
        <v>0.55440718744635165</v>
      </c>
      <c r="K402" s="2">
        <f t="shared" si="172"/>
        <v>0.65474232626647444</v>
      </c>
      <c r="L402" s="2">
        <f t="shared" si="172"/>
        <v>0.43913261992968833</v>
      </c>
      <c r="M402" s="2">
        <f t="shared" si="172"/>
        <v>0.28564675323382943</v>
      </c>
      <c r="N402" s="2">
        <f t="shared" si="172"/>
        <v>0.58325475277602956</v>
      </c>
      <c r="O402" s="2">
        <f t="shared" si="172"/>
        <v>0.56902068306615905</v>
      </c>
      <c r="P402" s="2">
        <f t="shared" si="172"/>
        <v>0.36846112315045382</v>
      </c>
      <c r="Q402" s="2">
        <f t="shared" si="172"/>
        <v>0.66607907484766959</v>
      </c>
      <c r="R402" s="2">
        <f t="shared" si="172"/>
        <v>0.60360442174247386</v>
      </c>
    </row>
    <row r="403" spans="1:18">
      <c r="A403" s="4" t="s">
        <v>8</v>
      </c>
      <c r="B403" s="2">
        <f t="shared" ref="B403:R403" si="173">(B397-47.668)/(155.698-47.668)</f>
        <v>0.31252513190780346</v>
      </c>
      <c r="C403" s="2">
        <f t="shared" si="173"/>
        <v>0.4099154864389522</v>
      </c>
      <c r="D403" s="2">
        <f t="shared" si="173"/>
        <v>0.27621558826251968</v>
      </c>
      <c r="E403" s="2">
        <f t="shared" si="173"/>
        <v>9.9589255833493484E-2</v>
      </c>
      <c r="F403" s="2">
        <f t="shared" si="173"/>
        <v>0.23202591872627978</v>
      </c>
      <c r="G403" s="2">
        <f t="shared" si="173"/>
        <v>8.9291493103767494E-2</v>
      </c>
      <c r="H403" s="2">
        <f t="shared" si="173"/>
        <v>-2.0507124128250799E-7</v>
      </c>
      <c r="I403" s="2">
        <f t="shared" si="173"/>
        <v>1.5292717834789415E-2</v>
      </c>
      <c r="J403" s="2">
        <f t="shared" si="173"/>
        <v>0.17885985374433025</v>
      </c>
      <c r="K403" s="2">
        <f t="shared" si="173"/>
        <v>0.18611793020457285</v>
      </c>
      <c r="L403" s="2">
        <f t="shared" si="173"/>
        <v>0.31636693511061736</v>
      </c>
      <c r="M403" s="2">
        <f t="shared" si="173"/>
        <v>0.2481576413959086</v>
      </c>
      <c r="N403" s="2">
        <f t="shared" si="173"/>
        <v>0.12183458298620757</v>
      </c>
      <c r="O403" s="2">
        <f t="shared" si="173"/>
        <v>0.20470313801721737</v>
      </c>
      <c r="P403" s="2">
        <f t="shared" si="173"/>
        <v>0.1525579830518467</v>
      </c>
      <c r="Q403" s="2">
        <f t="shared" si="173"/>
        <v>0.38444034064611682</v>
      </c>
      <c r="R403" s="2">
        <f t="shared" si="173"/>
        <v>7.412851111316858E-2</v>
      </c>
    </row>
    <row r="404" spans="1:18">
      <c r="A404" s="3" t="s">
        <v>61</v>
      </c>
      <c r="B404" s="2">
        <f t="shared" ref="B404:R404" si="174">(B398+B399+B400+B401+B402+B403)/6</f>
        <v>0.28595179739182558</v>
      </c>
      <c r="C404" s="2">
        <f t="shared" si="174"/>
        <v>0.30283610871532457</v>
      </c>
      <c r="D404" s="2">
        <f t="shared" si="174"/>
        <v>0.37133437496491256</v>
      </c>
      <c r="E404" s="2">
        <f t="shared" si="174"/>
        <v>0.25141481199833021</v>
      </c>
      <c r="F404" s="2">
        <f t="shared" si="174"/>
        <v>0.1935600834764</v>
      </c>
      <c r="G404" s="2">
        <f t="shared" si="174"/>
        <v>0.30552506033266219</v>
      </c>
      <c r="H404" s="2">
        <f t="shared" si="174"/>
        <v>4.3709395882648085E-2</v>
      </c>
      <c r="I404" s="2">
        <f t="shared" si="174"/>
        <v>0.18009344368191227</v>
      </c>
      <c r="J404" s="2">
        <f t="shared" si="174"/>
        <v>0.53352547336553746</v>
      </c>
      <c r="K404" s="2">
        <f t="shared" si="174"/>
        <v>0.30299637453324713</v>
      </c>
      <c r="L404" s="2">
        <f t="shared" si="174"/>
        <v>0.19661520050250367</v>
      </c>
      <c r="M404" s="2">
        <f t="shared" si="174"/>
        <v>0.17264293967739322</v>
      </c>
      <c r="N404" s="2">
        <f t="shared" si="174"/>
        <v>0.33784995241154592</v>
      </c>
      <c r="O404" s="2">
        <f t="shared" si="174"/>
        <v>0.26527880462327941</v>
      </c>
      <c r="P404" s="2">
        <f t="shared" si="174"/>
        <v>0.23371016588927271</v>
      </c>
      <c r="Q404" s="2">
        <f t="shared" si="174"/>
        <v>0.29695082945914425</v>
      </c>
      <c r="R404" s="2">
        <f t="shared" si="174"/>
        <v>0.31166618480734704</v>
      </c>
    </row>
    <row r="406" spans="1:18">
      <c r="A406" s="1" t="s">
        <v>9</v>
      </c>
      <c r="B406" s="2" t="s">
        <v>28</v>
      </c>
      <c r="C406" s="2" t="s">
        <v>29</v>
      </c>
      <c r="D406" s="2" t="s">
        <v>30</v>
      </c>
      <c r="E406" s="2" t="s">
        <v>31</v>
      </c>
      <c r="F406" s="2" t="s">
        <v>32</v>
      </c>
      <c r="G406" s="2" t="s">
        <v>33</v>
      </c>
      <c r="H406" s="2" t="s">
        <v>34</v>
      </c>
      <c r="I406" s="2" t="s">
        <v>35</v>
      </c>
      <c r="J406" s="2" t="s">
        <v>36</v>
      </c>
      <c r="K406" s="2" t="s">
        <v>37</v>
      </c>
      <c r="L406" s="2" t="s">
        <v>38</v>
      </c>
      <c r="M406" s="2" t="s">
        <v>39</v>
      </c>
      <c r="N406" s="2" t="s">
        <v>40</v>
      </c>
      <c r="O406" s="2" t="s">
        <v>41</v>
      </c>
      <c r="P406" s="2" t="s">
        <v>42</v>
      </c>
      <c r="Q406" s="2" t="s">
        <v>43</v>
      </c>
      <c r="R406" s="2" t="s">
        <v>44</v>
      </c>
    </row>
    <row r="407" spans="1:18">
      <c r="B407" s="2">
        <v>1998</v>
      </c>
      <c r="C407" s="2">
        <v>1998</v>
      </c>
      <c r="D407" s="2">
        <v>1998</v>
      </c>
      <c r="E407" s="2">
        <v>1998</v>
      </c>
      <c r="F407" s="2">
        <v>1998</v>
      </c>
      <c r="G407" s="2">
        <v>1998</v>
      </c>
      <c r="H407" s="2">
        <v>1998</v>
      </c>
      <c r="I407" s="2">
        <v>1998</v>
      </c>
      <c r="J407" s="2">
        <v>1998</v>
      </c>
      <c r="K407" s="2">
        <v>1998</v>
      </c>
      <c r="L407" s="2">
        <v>1998</v>
      </c>
      <c r="M407" s="2">
        <v>1998</v>
      </c>
      <c r="N407" s="2">
        <v>1998</v>
      </c>
      <c r="O407" s="2">
        <v>1998</v>
      </c>
      <c r="P407" s="2">
        <v>1998</v>
      </c>
      <c r="Q407" s="2">
        <v>1998</v>
      </c>
      <c r="R407" s="2">
        <v>1998</v>
      </c>
    </row>
    <row r="408" spans="1:18">
      <c r="A408" s="1" t="s">
        <v>0</v>
      </c>
      <c r="B408" s="3">
        <v>27712.028561943636</v>
      </c>
      <c r="C408" s="3">
        <v>28454.330198463824</v>
      </c>
      <c r="D408" s="3">
        <v>29720.998553941132</v>
      </c>
      <c r="E408" s="3">
        <v>30009.363313376849</v>
      </c>
      <c r="F408" s="3">
        <v>25085.185087589802</v>
      </c>
      <c r="G408" s="3">
        <v>26659.176429663847</v>
      </c>
      <c r="H408" s="3">
        <v>26374.005057624985</v>
      </c>
      <c r="I408" s="3">
        <v>30646.146726226078</v>
      </c>
      <c r="J408" s="3">
        <v>28410.860687577559</v>
      </c>
      <c r="K408" s="3">
        <v>31393.298561797361</v>
      </c>
      <c r="L408" s="3">
        <v>21295.277591989303</v>
      </c>
      <c r="M408" s="3">
        <v>42305.106532501573</v>
      </c>
      <c r="N408" s="3">
        <v>23165.568684468079</v>
      </c>
      <c r="O408" s="3">
        <v>26724.501514468258</v>
      </c>
      <c r="P408" s="3">
        <v>34469.060933251007</v>
      </c>
      <c r="Q408" s="3">
        <v>27598.935594236431</v>
      </c>
      <c r="R408" s="3">
        <v>38394.348227512019</v>
      </c>
    </row>
    <row r="409" spans="1:18">
      <c r="A409" s="1" t="s">
        <v>1</v>
      </c>
      <c r="B409" s="2">
        <v>43459</v>
      </c>
      <c r="C409" s="2">
        <v>50019</v>
      </c>
      <c r="D409" s="2">
        <v>44640</v>
      </c>
      <c r="E409" s="2">
        <v>42397</v>
      </c>
      <c r="F409" s="2">
        <v>42971</v>
      </c>
      <c r="G409" s="2">
        <v>48157</v>
      </c>
      <c r="H409" s="2">
        <v>46275</v>
      </c>
      <c r="I409" s="2">
        <v>43900</v>
      </c>
      <c r="J409" s="2">
        <v>38214</v>
      </c>
      <c r="K409" s="2">
        <v>41863</v>
      </c>
      <c r="L409" s="2">
        <v>33314</v>
      </c>
      <c r="M409" s="2">
        <v>46820</v>
      </c>
      <c r="N409" s="2">
        <v>38843</v>
      </c>
      <c r="O409" s="2">
        <v>41439</v>
      </c>
      <c r="P409" s="2">
        <v>38774</v>
      </c>
      <c r="Q409" s="2">
        <v>42046</v>
      </c>
      <c r="R409" s="2">
        <v>55329</v>
      </c>
    </row>
    <row r="410" spans="1:18">
      <c r="A410" s="1" t="s">
        <v>2</v>
      </c>
      <c r="B410" s="2">
        <v>25.444564375431888</v>
      </c>
      <c r="C410" s="2">
        <v>25.007391690001217</v>
      </c>
      <c r="D410" s="2">
        <v>22.391261818654758</v>
      </c>
      <c r="E410" s="2">
        <v>23.651551415201762</v>
      </c>
      <c r="F410" s="2">
        <v>28.446124958201509</v>
      </c>
      <c r="G410" s="2">
        <v>20.691622962064613</v>
      </c>
      <c r="H410" s="2">
        <v>22.91405426125073</v>
      </c>
      <c r="I410" s="2">
        <v>34.968298526707358</v>
      </c>
      <c r="J410" s="2">
        <v>27.966316354778893</v>
      </c>
      <c r="K410" s="2">
        <v>27.43306921514964</v>
      </c>
      <c r="L410" s="2">
        <v>20.348069042474062</v>
      </c>
      <c r="M410" s="2">
        <v>28.493545897786664</v>
      </c>
      <c r="N410" s="2">
        <v>23.231997449457175</v>
      </c>
      <c r="O410" s="2">
        <v>24.080109667836037</v>
      </c>
      <c r="P410" s="2">
        <v>27.650011072942267</v>
      </c>
      <c r="Q410" s="2">
        <v>17.710072752566504</v>
      </c>
      <c r="R410" s="2">
        <v>18.019677382450521</v>
      </c>
    </row>
    <row r="411" spans="1:18">
      <c r="A411" s="1" t="s">
        <v>3</v>
      </c>
      <c r="B411" s="2">
        <v>81.205172942009483</v>
      </c>
      <c r="C411" s="2">
        <v>135.60359670939351</v>
      </c>
      <c r="D411" s="2">
        <v>80.884791135913304</v>
      </c>
      <c r="E411" s="2">
        <v>74.224979911740562</v>
      </c>
      <c r="F411" s="2">
        <v>69.07254503519647</v>
      </c>
      <c r="G411" s="2">
        <v>50.401467196909977</v>
      </c>
      <c r="H411" s="2">
        <v>47.085652815643655</v>
      </c>
      <c r="I411" s="2">
        <v>162.17137067613001</v>
      </c>
      <c r="J411" s="2">
        <v>19.688875896546435</v>
      </c>
      <c r="K411" s="2">
        <v>120.44451311026749</v>
      </c>
      <c r="L411" s="2">
        <v>57.673675874628572</v>
      </c>
      <c r="M411" s="2">
        <v>73.463906134904761</v>
      </c>
      <c r="N411" s="2">
        <v>53.552872789823034</v>
      </c>
      <c r="O411" s="2">
        <v>79.412145238772482</v>
      </c>
      <c r="P411" s="2">
        <v>75.286345520231492</v>
      </c>
      <c r="Q411" s="2">
        <v>53.832141182121582</v>
      </c>
      <c r="R411" s="2">
        <v>23.676924836975175</v>
      </c>
    </row>
    <row r="412" spans="1:18">
      <c r="A412" s="6" t="s">
        <v>27</v>
      </c>
      <c r="B412" s="2">
        <v>77.573170731707322</v>
      </c>
      <c r="C412" s="2">
        <v>77.873170731707319</v>
      </c>
      <c r="D412" s="2">
        <v>78.662439024390238</v>
      </c>
      <c r="E412" s="2">
        <v>76.139024390243918</v>
      </c>
      <c r="F412" s="2">
        <v>77.090731707317076</v>
      </c>
      <c r="G412" s="2">
        <v>78.456097560975621</v>
      </c>
      <c r="H412" s="2">
        <v>78.426829268292693</v>
      </c>
      <c r="I412" s="2">
        <v>76.195365853658544</v>
      </c>
      <c r="J412" s="2">
        <v>80.501463414634159</v>
      </c>
      <c r="K412" s="2">
        <v>77.882926829268314</v>
      </c>
      <c r="L412" s="2">
        <v>78.085365853658544</v>
      </c>
      <c r="M412" s="2">
        <v>78.329268292682926</v>
      </c>
      <c r="N412" s="2">
        <v>78.665853658536591</v>
      </c>
      <c r="O412" s="2">
        <v>79.339024390243921</v>
      </c>
      <c r="P412" s="2">
        <v>79.324390243902457</v>
      </c>
      <c r="Q412" s="2">
        <v>77.190243902439036</v>
      </c>
      <c r="R412" s="2">
        <v>76.580487804878061</v>
      </c>
    </row>
    <row r="413" spans="1:18">
      <c r="A413" s="6" t="s">
        <v>47</v>
      </c>
      <c r="B413" s="2">
        <v>96.865920000000003</v>
      </c>
      <c r="C413" s="2">
        <v>147.87981724941699</v>
      </c>
      <c r="D413" s="2">
        <v>105.73801</v>
      </c>
      <c r="E413" s="2">
        <v>123.21772</v>
      </c>
      <c r="F413" s="2">
        <v>117.63608000000001</v>
      </c>
      <c r="G413" s="2">
        <v>110.02361999999999</v>
      </c>
      <c r="H413" s="2">
        <v>90.758840000000006</v>
      </c>
      <c r="I413" s="2">
        <v>106.46191</v>
      </c>
      <c r="J413" s="2">
        <v>100.98566</v>
      </c>
      <c r="K413" s="2">
        <v>127.62841</v>
      </c>
      <c r="L413" s="2">
        <v>112.43361</v>
      </c>
      <c r="M413" s="2">
        <v>117.63728</v>
      </c>
      <c r="N413" s="2">
        <v>107.17691000000001</v>
      </c>
      <c r="O413" s="2">
        <v>155.69842</v>
      </c>
      <c r="P413" s="2">
        <v>95.685770000000005</v>
      </c>
      <c r="Q413" s="2">
        <v>98.442329999999998</v>
      </c>
      <c r="R413" s="2">
        <v>94.784139999999994</v>
      </c>
    </row>
    <row r="414" spans="1:18">
      <c r="A414" s="3" t="s">
        <v>4</v>
      </c>
      <c r="B414" s="2">
        <f t="shared" ref="B414:R414" si="175">(B408-1596.96)/(42305.11-1596.96)</f>
        <v>0.64151941471041141</v>
      </c>
      <c r="C414" s="2">
        <f t="shared" si="175"/>
        <v>0.65975413273420247</v>
      </c>
      <c r="D414" s="2">
        <f t="shared" si="175"/>
        <v>0.69086997453682208</v>
      </c>
      <c r="E414" s="2">
        <f t="shared" si="175"/>
        <v>0.69795368527866897</v>
      </c>
      <c r="F414" s="2">
        <f t="shared" si="175"/>
        <v>0.57699072759606618</v>
      </c>
      <c r="G414" s="2">
        <f t="shared" si="175"/>
        <v>0.6156559909910877</v>
      </c>
      <c r="H414" s="2">
        <f t="shared" si="175"/>
        <v>0.60865072614758919</v>
      </c>
      <c r="I414" s="2">
        <f t="shared" si="175"/>
        <v>0.71359633700441016</v>
      </c>
      <c r="J414" s="2">
        <f t="shared" si="175"/>
        <v>0.65868629961267111</v>
      </c>
      <c r="K414" s="2">
        <f t="shared" si="175"/>
        <v>0.73195020067965166</v>
      </c>
      <c r="L414" s="2">
        <f t="shared" si="175"/>
        <v>0.48389125008110911</v>
      </c>
      <c r="M414" s="2">
        <f t="shared" si="175"/>
        <v>0.9999999148205353</v>
      </c>
      <c r="N414" s="2">
        <f t="shared" si="175"/>
        <v>0.52983514810837828</v>
      </c>
      <c r="O414" s="2">
        <f t="shared" si="175"/>
        <v>0.61726070859197135</v>
      </c>
      <c r="P414" s="2">
        <f t="shared" si="175"/>
        <v>0.8075066278681543</v>
      </c>
      <c r="Q414" s="2">
        <f t="shared" si="175"/>
        <v>0.63874127402587522</v>
      </c>
      <c r="R414" s="2">
        <f t="shared" si="175"/>
        <v>0.9039317244215721</v>
      </c>
    </row>
    <row r="415" spans="1:18">
      <c r="A415" s="3" t="s">
        <v>5</v>
      </c>
      <c r="B415" s="2">
        <f t="shared" ref="B415:R415" si="176">(B409-4097)/(55329-4097)</f>
        <v>0.7683088694565896</v>
      </c>
      <c r="C415" s="2">
        <f t="shared" si="176"/>
        <v>0.89635384134915674</v>
      </c>
      <c r="D415" s="2">
        <f t="shared" si="176"/>
        <v>0.79136086820737039</v>
      </c>
      <c r="E415" s="2">
        <f t="shared" si="176"/>
        <v>0.747579637726421</v>
      </c>
      <c r="F415" s="2">
        <f t="shared" si="176"/>
        <v>0.75878357276702058</v>
      </c>
      <c r="G415" s="2">
        <f t="shared" si="176"/>
        <v>0.86000936914428483</v>
      </c>
      <c r="H415" s="2">
        <f t="shared" si="176"/>
        <v>0.8232745159275453</v>
      </c>
      <c r="I415" s="2">
        <f t="shared" si="176"/>
        <v>0.77691677076826982</v>
      </c>
      <c r="J415" s="2">
        <f t="shared" si="176"/>
        <v>0.66593144909431601</v>
      </c>
      <c r="K415" s="2">
        <f t="shared" si="176"/>
        <v>0.73715646470955654</v>
      </c>
      <c r="L415" s="2">
        <f t="shared" si="176"/>
        <v>0.57028810118675832</v>
      </c>
      <c r="M415" s="2">
        <f t="shared" si="176"/>
        <v>0.8339123985009369</v>
      </c>
      <c r="N415" s="2">
        <f t="shared" si="176"/>
        <v>0.67820893191755149</v>
      </c>
      <c r="O415" s="2">
        <f t="shared" si="176"/>
        <v>0.72888038725796378</v>
      </c>
      <c r="P415" s="2">
        <f t="shared" si="176"/>
        <v>0.6768621174266084</v>
      </c>
      <c r="Q415" s="2">
        <f t="shared" si="176"/>
        <v>0.74072845096814488</v>
      </c>
      <c r="R415" s="2">
        <f t="shared" si="176"/>
        <v>1</v>
      </c>
    </row>
    <row r="416" spans="1:18">
      <c r="A416" s="3" t="s">
        <v>6</v>
      </c>
      <c r="B416" s="2">
        <f t="shared" ref="B416:R416" si="177">(B410-13.834)/(48.671-13.834)</f>
        <v>0.33328255519797595</v>
      </c>
      <c r="C416" s="2">
        <f t="shared" si="177"/>
        <v>0.32073346413299703</v>
      </c>
      <c r="D416" s="2">
        <f t="shared" si="177"/>
        <v>0.24563716217397474</v>
      </c>
      <c r="E416" s="2">
        <f t="shared" si="177"/>
        <v>0.28181391667485034</v>
      </c>
      <c r="F416" s="2">
        <f t="shared" si="177"/>
        <v>0.4194426890433019</v>
      </c>
      <c r="G416" s="2">
        <f t="shared" si="177"/>
        <v>0.19684883778926468</v>
      </c>
      <c r="H416" s="2">
        <f t="shared" si="177"/>
        <v>0.26064397799037603</v>
      </c>
      <c r="I416" s="2">
        <f t="shared" si="177"/>
        <v>0.60666241429248657</v>
      </c>
      <c r="J416" s="2">
        <f t="shared" si="177"/>
        <v>0.40566972916091776</v>
      </c>
      <c r="K416" s="2">
        <f t="shared" si="177"/>
        <v>0.39036281009127188</v>
      </c>
      <c r="L416" s="2">
        <f t="shared" si="177"/>
        <v>0.18698708391865149</v>
      </c>
      <c r="M416" s="2">
        <f t="shared" si="177"/>
        <v>0.42080391244328336</v>
      </c>
      <c r="N416" s="2">
        <f t="shared" si="177"/>
        <v>0.26977057293846124</v>
      </c>
      <c r="O416" s="2">
        <f t="shared" si="177"/>
        <v>0.29411572947831433</v>
      </c>
      <c r="P416" s="2">
        <f t="shared" si="177"/>
        <v>0.39659015049924695</v>
      </c>
      <c r="Q416" s="2">
        <f t="shared" si="177"/>
        <v>0.11126310395747348</v>
      </c>
      <c r="R416" s="2">
        <f t="shared" si="177"/>
        <v>0.12015033965182194</v>
      </c>
    </row>
    <row r="417" spans="1:18">
      <c r="A417" s="3" t="s">
        <v>3</v>
      </c>
      <c r="B417" s="2">
        <f>(B411-19.689)/(209.492-19.689)</f>
        <v>0.32410537737553929</v>
      </c>
      <c r="C417" s="2">
        <f t="shared" ref="C417:R417" si="178">(C411-19.689)/(209.492-19.689)</f>
        <v>0.61071003466432838</v>
      </c>
      <c r="D417" s="2">
        <f t="shared" si="178"/>
        <v>0.32241740718488804</v>
      </c>
      <c r="E417" s="2">
        <f t="shared" si="178"/>
        <v>0.28732938842768851</v>
      </c>
      <c r="F417" s="2">
        <f t="shared" si="178"/>
        <v>0.26018316378137579</v>
      </c>
      <c r="G417" s="2">
        <f t="shared" si="178"/>
        <v>0.16181233803949346</v>
      </c>
      <c r="H417" s="2">
        <f t="shared" si="178"/>
        <v>0.14434257001018769</v>
      </c>
      <c r="I417" s="2">
        <f t="shared" si="178"/>
        <v>0.75068555647766377</v>
      </c>
      <c r="J417" s="2">
        <f t="shared" si="178"/>
        <v>-6.538540147694344E-7</v>
      </c>
      <c r="K417" s="2">
        <f t="shared" si="178"/>
        <v>0.53084257419675918</v>
      </c>
      <c r="L417" s="2">
        <f t="shared" si="178"/>
        <v>0.20012684664957126</v>
      </c>
      <c r="M417" s="2">
        <f t="shared" si="178"/>
        <v>0.28331957943185704</v>
      </c>
      <c r="N417" s="2">
        <f t="shared" si="178"/>
        <v>0.1784158985359717</v>
      </c>
      <c r="O417" s="2">
        <f t="shared" si="178"/>
        <v>0.31465859464166784</v>
      </c>
      <c r="P417" s="2">
        <f t="shared" si="178"/>
        <v>0.29292132116052694</v>
      </c>
      <c r="Q417" s="2">
        <f t="shared" si="178"/>
        <v>0.17988725774683004</v>
      </c>
      <c r="R417" s="2">
        <f t="shared" si="178"/>
        <v>2.1010863036807506E-2</v>
      </c>
    </row>
    <row r="418" spans="1:18">
      <c r="A418" s="3" t="s">
        <v>7</v>
      </c>
      <c r="B418" s="2">
        <f>(B412-60.895)/(80.501-60.895)</f>
        <v>0.85066666998405172</v>
      </c>
      <c r="C418" s="2">
        <f t="shared" ref="C418:R418" si="179">(C412-60.895)/(80.501-60.895)</f>
        <v>0.86596810831925508</v>
      </c>
      <c r="D418" s="2">
        <f t="shared" si="179"/>
        <v>0.90622457535398515</v>
      </c>
      <c r="E418" s="2">
        <f t="shared" si="179"/>
        <v>0.77751833062551845</v>
      </c>
      <c r="F418" s="2">
        <f t="shared" si="179"/>
        <v>0.82605996671004134</v>
      </c>
      <c r="G418" s="2">
        <f t="shared" si="179"/>
        <v>0.89570017142587044</v>
      </c>
      <c r="H418" s="2">
        <f t="shared" si="179"/>
        <v>0.89420734817365544</v>
      </c>
      <c r="I418" s="2">
        <f t="shared" si="179"/>
        <v>0.78039201538603176</v>
      </c>
      <c r="J418" s="2">
        <f t="shared" si="179"/>
        <v>1.0000236363681605</v>
      </c>
      <c r="K418" s="2">
        <f t="shared" si="179"/>
        <v>0.86646571606999434</v>
      </c>
      <c r="L418" s="2">
        <f t="shared" si="179"/>
        <v>0.87679107689781388</v>
      </c>
      <c r="M418" s="2">
        <f t="shared" si="179"/>
        <v>0.88923127066627161</v>
      </c>
      <c r="N418" s="2">
        <f t="shared" si="179"/>
        <v>0.9063987380667442</v>
      </c>
      <c r="O418" s="2">
        <f t="shared" si="179"/>
        <v>0.94073367286768927</v>
      </c>
      <c r="P418" s="2">
        <f t="shared" si="179"/>
        <v>0.93998726124158172</v>
      </c>
      <c r="Q418" s="2">
        <f t="shared" si="179"/>
        <v>0.83113556576757275</v>
      </c>
      <c r="R418" s="2">
        <f t="shared" si="179"/>
        <v>0.80003508134642742</v>
      </c>
    </row>
    <row r="419" spans="1:18">
      <c r="A419" s="4" t="s">
        <v>8</v>
      </c>
      <c r="B419" s="2">
        <f>(B413-47.668)/(155.698-47.668)</f>
        <v>0.45540979357585859</v>
      </c>
      <c r="C419" s="2">
        <f t="shared" ref="C419:R419" si="180">(C413-47.668)/(155.698-47.668)</f>
        <v>0.92762952188667014</v>
      </c>
      <c r="D419" s="2">
        <f t="shared" si="180"/>
        <v>0.53753596223271316</v>
      </c>
      <c r="E419" s="2">
        <f t="shared" si="180"/>
        <v>0.69934018328242165</v>
      </c>
      <c r="F419" s="2">
        <f t="shared" si="180"/>
        <v>0.64767268351383889</v>
      </c>
      <c r="G419" s="2">
        <f t="shared" si="180"/>
        <v>0.57720651670832168</v>
      </c>
      <c r="H419" s="2">
        <f t="shared" si="180"/>
        <v>0.39887845968712399</v>
      </c>
      <c r="I419" s="2">
        <f t="shared" si="180"/>
        <v>0.54423687864482095</v>
      </c>
      <c r="J419" s="2">
        <f t="shared" si="180"/>
        <v>0.49354494122003145</v>
      </c>
      <c r="K419" s="2">
        <f t="shared" si="180"/>
        <v>0.74016856428769784</v>
      </c>
      <c r="L419" s="2">
        <f t="shared" si="180"/>
        <v>0.59951504211793027</v>
      </c>
      <c r="M419" s="2">
        <f t="shared" si="180"/>
        <v>0.64768379153938715</v>
      </c>
      <c r="N419" s="2">
        <f t="shared" si="180"/>
        <v>0.55085541053411091</v>
      </c>
      <c r="O419" s="2">
        <f t="shared" si="180"/>
        <v>1.0000038878089419</v>
      </c>
      <c r="P419" s="2">
        <f t="shared" si="180"/>
        <v>0.44448551328334729</v>
      </c>
      <c r="Q419" s="2">
        <f t="shared" si="180"/>
        <v>0.47000212903823013</v>
      </c>
      <c r="R419" s="2">
        <f t="shared" si="180"/>
        <v>0.43613940572063309</v>
      </c>
    </row>
    <row r="420" spans="1:18">
      <c r="A420" s="4" t="s">
        <v>61</v>
      </c>
      <c r="B420" s="2">
        <f>(B414+B415+B416+B417+B418+B419)/6</f>
        <v>0.56221544671673784</v>
      </c>
      <c r="C420" s="2">
        <f t="shared" ref="C420:R420" si="181">(C414+C415+C416+C417+C418+C419)/6</f>
        <v>0.71352485051443493</v>
      </c>
      <c r="D420" s="2">
        <f t="shared" si="181"/>
        <v>0.582340991614959</v>
      </c>
      <c r="E420" s="2">
        <f t="shared" si="181"/>
        <v>0.58192252366926145</v>
      </c>
      <c r="F420" s="2">
        <f t="shared" si="181"/>
        <v>0.58152213390194074</v>
      </c>
      <c r="G420" s="2">
        <f t="shared" si="181"/>
        <v>0.55120553734972055</v>
      </c>
      <c r="H420" s="2">
        <f t="shared" si="181"/>
        <v>0.52166626632274626</v>
      </c>
      <c r="I420" s="2">
        <f t="shared" si="181"/>
        <v>0.69541499542894714</v>
      </c>
      <c r="J420" s="2">
        <f t="shared" si="181"/>
        <v>0.53730923360034699</v>
      </c>
      <c r="K420" s="2">
        <f t="shared" si="181"/>
        <v>0.66615772167248855</v>
      </c>
      <c r="L420" s="2">
        <f t="shared" si="181"/>
        <v>0.48626656680863906</v>
      </c>
      <c r="M420" s="2">
        <f t="shared" si="181"/>
        <v>0.67915847790037853</v>
      </c>
      <c r="N420" s="2">
        <f t="shared" si="181"/>
        <v>0.51891411668353626</v>
      </c>
      <c r="O420" s="2">
        <f t="shared" si="181"/>
        <v>0.64927549677442475</v>
      </c>
      <c r="P420" s="2">
        <f t="shared" si="181"/>
        <v>0.59305883191324427</v>
      </c>
      <c r="Q420" s="2">
        <f t="shared" si="181"/>
        <v>0.49529296358402108</v>
      </c>
      <c r="R420" s="2">
        <f t="shared" si="181"/>
        <v>0.54687790236287703</v>
      </c>
    </row>
    <row r="423" spans="1:18">
      <c r="A423" s="1" t="s">
        <v>9</v>
      </c>
      <c r="B423" s="2" t="s">
        <v>10</v>
      </c>
      <c r="C423" s="2" t="s">
        <v>11</v>
      </c>
      <c r="D423" s="2" t="s">
        <v>12</v>
      </c>
      <c r="E423" s="2" t="s">
        <v>13</v>
      </c>
      <c r="F423" s="2" t="s">
        <v>14</v>
      </c>
      <c r="G423" s="2" t="s">
        <v>15</v>
      </c>
      <c r="H423" s="2" t="s">
        <v>16</v>
      </c>
      <c r="I423" s="2" t="s">
        <v>17</v>
      </c>
      <c r="J423" s="2" t="s">
        <v>18</v>
      </c>
      <c r="K423" s="2" t="s">
        <v>19</v>
      </c>
      <c r="L423" s="2" t="s">
        <v>20</v>
      </c>
      <c r="M423" s="2" t="s">
        <v>21</v>
      </c>
      <c r="N423" s="2" t="s">
        <v>22</v>
      </c>
      <c r="O423" s="2" t="s">
        <v>23</v>
      </c>
      <c r="P423" s="2" t="s">
        <v>24</v>
      </c>
      <c r="Q423" s="2" t="s">
        <v>25</v>
      </c>
      <c r="R423" s="2" t="s">
        <v>26</v>
      </c>
    </row>
    <row r="424" spans="1:18">
      <c r="B424" s="2">
        <v>1997</v>
      </c>
      <c r="C424" s="2">
        <v>1997</v>
      </c>
      <c r="D424" s="2">
        <v>1997</v>
      </c>
      <c r="E424" s="2">
        <v>1997</v>
      </c>
      <c r="F424" s="2">
        <v>1997</v>
      </c>
      <c r="G424" s="2">
        <v>1997</v>
      </c>
      <c r="H424" s="2">
        <v>1997</v>
      </c>
      <c r="I424" s="2">
        <v>1997</v>
      </c>
      <c r="J424" s="2">
        <v>1997</v>
      </c>
      <c r="K424" s="2">
        <v>1997</v>
      </c>
      <c r="L424" s="2">
        <v>1997</v>
      </c>
      <c r="M424" s="2">
        <v>1997</v>
      </c>
      <c r="N424" s="2">
        <v>1997</v>
      </c>
      <c r="O424" s="2">
        <v>1997</v>
      </c>
      <c r="P424" s="2">
        <v>1997</v>
      </c>
      <c r="Q424" s="2">
        <v>1997</v>
      </c>
      <c r="R424" s="2">
        <v>1997</v>
      </c>
    </row>
    <row r="425" spans="1:18">
      <c r="A425" s="1" t="s">
        <v>0</v>
      </c>
      <c r="B425" s="3">
        <v>10688.501026424086</v>
      </c>
      <c r="C425" s="3">
        <v>6185.2569191929824</v>
      </c>
      <c r="D425" s="3">
        <v>10668.124895203933</v>
      </c>
      <c r="E425" s="3">
        <v>2177.6536134027569</v>
      </c>
      <c r="F425" s="3">
        <v>6902.7289405202864</v>
      </c>
      <c r="G425" s="3">
        <v>7300.2222885392248</v>
      </c>
      <c r="H425" s="3">
        <v>1530.1974190249148</v>
      </c>
      <c r="I425" s="3">
        <v>3045.6713217715596</v>
      </c>
      <c r="J425" s="3">
        <v>10655.559644389235</v>
      </c>
      <c r="K425" s="3">
        <v>10951.244047839456</v>
      </c>
      <c r="L425" s="3">
        <v>5602.9891363026691</v>
      </c>
      <c r="M425" s="3">
        <v>2677.6371927252271</v>
      </c>
      <c r="N425" s="3">
        <v>5889.0811042599917</v>
      </c>
      <c r="O425" s="3">
        <v>5399.0639546148141</v>
      </c>
      <c r="P425" s="3">
        <v>9811.7533448351205</v>
      </c>
      <c r="Q425" s="3">
        <v>9648.4080393947825</v>
      </c>
      <c r="R425" s="3">
        <v>10329.788443952824</v>
      </c>
    </row>
    <row r="426" spans="1:18">
      <c r="A426" s="1" t="s">
        <v>1</v>
      </c>
      <c r="B426" s="2">
        <v>24435</v>
      </c>
      <c r="C426" s="2">
        <v>10654</v>
      </c>
      <c r="D426" s="2">
        <v>28287</v>
      </c>
      <c r="E426" s="2">
        <v>4135</v>
      </c>
      <c r="F426" s="2">
        <v>15995</v>
      </c>
      <c r="G426" s="2">
        <v>15099</v>
      </c>
      <c r="H426" s="2">
        <v>4496</v>
      </c>
      <c r="I426" s="2">
        <v>8688</v>
      </c>
      <c r="J426" s="2">
        <v>19457</v>
      </c>
      <c r="K426" s="2">
        <v>17421</v>
      </c>
      <c r="L426" s="2">
        <v>11667</v>
      </c>
      <c r="M426" s="2">
        <v>6724</v>
      </c>
      <c r="N426" s="2">
        <v>12814</v>
      </c>
      <c r="O426" s="2">
        <v>12415</v>
      </c>
      <c r="P426" s="2">
        <v>18961</v>
      </c>
      <c r="Q426" s="2">
        <v>23069</v>
      </c>
      <c r="R426" s="2">
        <v>26440</v>
      </c>
    </row>
    <row r="427" spans="1:18">
      <c r="A427" s="1" t="s">
        <v>2</v>
      </c>
      <c r="B427" s="2">
        <v>17.126117110407748</v>
      </c>
      <c r="C427" s="2">
        <v>15.486401380407694</v>
      </c>
      <c r="D427" s="2">
        <v>25.603292330685957</v>
      </c>
      <c r="E427" s="2">
        <v>42.442278920599691</v>
      </c>
      <c r="F427" s="2">
        <v>15.009770022309471</v>
      </c>
      <c r="G427" s="2">
        <v>14.244142450237373</v>
      </c>
      <c r="H427" s="2">
        <v>23.296647945156607</v>
      </c>
      <c r="I427" s="2">
        <v>31.475891027210455</v>
      </c>
      <c r="J427" s="2">
        <v>43.886868857417248</v>
      </c>
      <c r="K427" s="2">
        <v>25.869223033151616</v>
      </c>
      <c r="L427" s="2">
        <v>19.86772740956452</v>
      </c>
      <c r="M427" s="2">
        <v>14.438405714985064</v>
      </c>
      <c r="N427" s="2">
        <v>35.079159833725079</v>
      </c>
      <c r="O427" s="2">
        <v>22.18633681145776</v>
      </c>
      <c r="P427" s="2">
        <v>19.303898068223553</v>
      </c>
      <c r="Q427" s="2">
        <v>14.054591746498632</v>
      </c>
      <c r="R427" s="2">
        <v>34.945509935579231</v>
      </c>
    </row>
    <row r="428" spans="1:18">
      <c r="A428" s="1" t="s">
        <v>3</v>
      </c>
      <c r="B428" s="2">
        <v>23.301324895852726</v>
      </c>
      <c r="C428" s="2">
        <v>112.09386119323224</v>
      </c>
      <c r="D428" s="2">
        <v>56.286835481038942</v>
      </c>
      <c r="E428" s="2">
        <v>39.012643624272734</v>
      </c>
      <c r="F428" s="2">
        <v>35.597068088679265</v>
      </c>
      <c r="G428" s="2">
        <v>85.335201709714966</v>
      </c>
      <c r="H428" s="2">
        <v>22.229548746577471</v>
      </c>
      <c r="I428" s="2">
        <v>55.993896330635209</v>
      </c>
      <c r="J428" s="2">
        <v>185.66511207773385</v>
      </c>
      <c r="K428" s="2">
        <v>60.64035331929103</v>
      </c>
      <c r="L428" s="2">
        <v>32.941697803450076</v>
      </c>
      <c r="M428" s="2">
        <v>108.25031740073013</v>
      </c>
      <c r="N428" s="2">
        <v>94.603908366888277</v>
      </c>
      <c r="O428" s="2">
        <v>80.500710443962092</v>
      </c>
      <c r="P428" s="2">
        <v>54.970323572402314</v>
      </c>
      <c r="Q428" s="2">
        <v>37.706397046568263</v>
      </c>
      <c r="R428" s="2">
        <v>51.245036406539889</v>
      </c>
    </row>
    <row r="429" spans="1:18">
      <c r="A429" s="6" t="s">
        <v>27</v>
      </c>
      <c r="B429" s="5">
        <v>73.067390243902452</v>
      </c>
      <c r="C429" s="5">
        <v>70.351219512195144</v>
      </c>
      <c r="D429" s="5">
        <v>75.66980487804878</v>
      </c>
      <c r="E429" s="5">
        <v>70.76631707317074</v>
      </c>
      <c r="F429" s="5">
        <v>70.085243902439032</v>
      </c>
      <c r="G429" s="5">
        <v>77.229512195121956</v>
      </c>
      <c r="H429" s="5">
        <v>60.535731707317083</v>
      </c>
      <c r="I429" s="5">
        <v>64.669439024390257</v>
      </c>
      <c r="J429" s="5">
        <v>71.569097560975621</v>
      </c>
      <c r="K429" s="5">
        <v>73.426048780487818</v>
      </c>
      <c r="L429" s="5">
        <v>69.000878048780493</v>
      </c>
      <c r="M429" s="5">
        <v>66.339756097560979</v>
      </c>
      <c r="N429" s="5">
        <v>72.279292682926837</v>
      </c>
      <c r="O429" s="5">
        <v>71.902439024390247</v>
      </c>
      <c r="P429" s="5">
        <v>67.432804878048799</v>
      </c>
      <c r="Q429" s="5">
        <v>73.663414634146349</v>
      </c>
      <c r="R429" s="5">
        <v>72.569512195121945</v>
      </c>
    </row>
    <row r="430" spans="1:18">
      <c r="A430" s="6" t="s">
        <v>48</v>
      </c>
      <c r="B430" s="5">
        <v>75.079560000000001</v>
      </c>
      <c r="C430" s="5">
        <v>92.58511</v>
      </c>
      <c r="D430" s="5">
        <v>80.043877555555596</v>
      </c>
      <c r="E430" s="5">
        <v>58.151380000000003</v>
      </c>
      <c r="F430" s="5">
        <v>67.483600272727301</v>
      </c>
      <c r="G430" s="5">
        <v>50.208860000000001</v>
      </c>
      <c r="H430" s="5">
        <v>46.019599999999997</v>
      </c>
      <c r="I430" s="5">
        <v>53.430169999999997</v>
      </c>
      <c r="J430" s="5">
        <v>57.079340000000002</v>
      </c>
      <c r="K430" s="5">
        <v>63.967770000000002</v>
      </c>
      <c r="L430" s="5">
        <v>73.373260000000002</v>
      </c>
      <c r="M430" s="5">
        <v>75.539259999999999</v>
      </c>
      <c r="N430" s="5">
        <v>57.283439999999999</v>
      </c>
      <c r="O430" s="5">
        <v>63.131999999999998</v>
      </c>
      <c r="P430" s="5">
        <v>62.462451090909099</v>
      </c>
      <c r="Q430" s="5">
        <v>86.712727727272707</v>
      </c>
      <c r="R430" s="5">
        <v>55.7920488888889</v>
      </c>
    </row>
    <row r="431" spans="1:18">
      <c r="A431" s="3" t="s">
        <v>4</v>
      </c>
      <c r="B431" s="2">
        <f>(B425-1530.197)/(41445.84-1530.197)</f>
        <v>0.22944147552437241</v>
      </c>
      <c r="C431" s="2">
        <f t="shared" ref="C431:R431" si="182">(C425-1530.197)/(41445.84-1530.197)</f>
        <v>0.11662244597169542</v>
      </c>
      <c r="D431" s="2">
        <f t="shared" si="182"/>
        <v>0.22893099568016315</v>
      </c>
      <c r="E431" s="2">
        <f t="shared" si="182"/>
        <v>1.6220623413300824E-2</v>
      </c>
      <c r="F431" s="2">
        <f t="shared" si="182"/>
        <v>0.13459715381561776</v>
      </c>
      <c r="G431" s="2">
        <f t="shared" si="182"/>
        <v>0.14455548889790465</v>
      </c>
      <c r="H431" s="2">
        <f t="shared" si="182"/>
        <v>1.0497761864704078E-8</v>
      </c>
      <c r="I431" s="2">
        <f t="shared" si="182"/>
        <v>3.7966927446754645E-2</v>
      </c>
      <c r="J431" s="2">
        <f t="shared" si="182"/>
        <v>0.22861620053043455</v>
      </c>
      <c r="K431" s="2">
        <f t="shared" si="182"/>
        <v>0.23602393296882271</v>
      </c>
      <c r="L431" s="2">
        <f t="shared" si="182"/>
        <v>0.10203498754367227</v>
      </c>
      <c r="M431" s="2">
        <f t="shared" si="182"/>
        <v>2.8746629303334218E-2</v>
      </c>
      <c r="N431" s="2">
        <f t="shared" si="182"/>
        <v>0.10920240228273391</v>
      </c>
      <c r="O431" s="2">
        <f t="shared" si="182"/>
        <v>9.6926083706450991E-2</v>
      </c>
      <c r="P431" s="2">
        <f t="shared" si="182"/>
        <v>0.20747646091621577</v>
      </c>
      <c r="Q431" s="2">
        <f t="shared" si="182"/>
        <v>0.20338419800464652</v>
      </c>
      <c r="R431" s="2">
        <f t="shared" si="182"/>
        <v>0.22045470854503896</v>
      </c>
    </row>
    <row r="432" spans="1:18">
      <c r="A432" s="3" t="s">
        <v>5</v>
      </c>
      <c r="B432" s="2">
        <f>(B426-4135)/(53836-4135)</f>
        <v>0.40844248606667871</v>
      </c>
      <c r="C432" s="2">
        <f t="shared" ref="C432:R432" si="183">(C426-4135)/(53836-4135)</f>
        <v>0.13116436289008268</v>
      </c>
      <c r="D432" s="2">
        <f t="shared" si="183"/>
        <v>0.48594595682179431</v>
      </c>
      <c r="E432" s="2">
        <f t="shared" si="183"/>
        <v>0</v>
      </c>
      <c r="F432" s="2">
        <f t="shared" si="183"/>
        <v>0.2386269893965916</v>
      </c>
      <c r="G432" s="2">
        <f t="shared" si="183"/>
        <v>0.22059918311502788</v>
      </c>
      <c r="H432" s="2">
        <f t="shared" si="183"/>
        <v>7.2634353433532525E-3</v>
      </c>
      <c r="I432" s="2">
        <f t="shared" si="183"/>
        <v>9.1607814732097947E-2</v>
      </c>
      <c r="J432" s="2">
        <f t="shared" si="183"/>
        <v>0.3082835355425444</v>
      </c>
      <c r="K432" s="2">
        <f t="shared" si="183"/>
        <v>0.26731856501881252</v>
      </c>
      <c r="L432" s="2">
        <f t="shared" si="183"/>
        <v>0.15154624655439528</v>
      </c>
      <c r="M432" s="2">
        <f t="shared" si="183"/>
        <v>5.2091507213134547E-2</v>
      </c>
      <c r="N432" s="2">
        <f t="shared" si="183"/>
        <v>0.17462425303313817</v>
      </c>
      <c r="O432" s="2">
        <f t="shared" si="183"/>
        <v>0.16659624554837932</v>
      </c>
      <c r="P432" s="2">
        <f t="shared" si="183"/>
        <v>0.2983038570652502</v>
      </c>
      <c r="Q432" s="2">
        <f t="shared" si="183"/>
        <v>0.38095812961509828</v>
      </c>
      <c r="R432" s="2">
        <f t="shared" si="183"/>
        <v>0.44878372668557975</v>
      </c>
    </row>
    <row r="433" spans="1:18">
      <c r="A433" s="3" t="s">
        <v>6</v>
      </c>
      <c r="B433" s="2">
        <f>(B427-14.055)/(43.887-14.055)</f>
        <v>0.10294707396110712</v>
      </c>
      <c r="C433" s="2">
        <f t="shared" ref="C433:R433" si="184">(C427-14.055)/(43.887-14.055)</f>
        <v>4.7982078989263002E-2</v>
      </c>
      <c r="D433" s="2">
        <f t="shared" si="184"/>
        <v>0.38711089872237719</v>
      </c>
      <c r="E433" s="2">
        <f t="shared" si="184"/>
        <v>0.95157143069856831</v>
      </c>
      <c r="F433" s="2">
        <f t="shared" si="184"/>
        <v>3.2004894821315077E-2</v>
      </c>
      <c r="G433" s="2">
        <f t="shared" si="184"/>
        <v>6.3402537623147319E-3</v>
      </c>
      <c r="H433" s="2">
        <f t="shared" si="184"/>
        <v>0.30978975412833892</v>
      </c>
      <c r="I433" s="2">
        <f t="shared" si="184"/>
        <v>0.58396658042405658</v>
      </c>
      <c r="J433" s="2">
        <f t="shared" si="184"/>
        <v>0.99999560396276643</v>
      </c>
      <c r="K433" s="2">
        <f t="shared" si="184"/>
        <v>0.39602517542074339</v>
      </c>
      <c r="L433" s="2">
        <f t="shared" si="184"/>
        <v>0.19484873322487664</v>
      </c>
      <c r="M433" s="2">
        <f t="shared" si="184"/>
        <v>1.2852162610118822E-2</v>
      </c>
      <c r="N433" s="2">
        <f t="shared" si="184"/>
        <v>0.7047519386472606</v>
      </c>
      <c r="O433" s="2">
        <f t="shared" si="184"/>
        <v>0.27257095774529905</v>
      </c>
      <c r="P433" s="2">
        <f t="shared" si="184"/>
        <v>0.17594858099435348</v>
      </c>
      <c r="Q433" s="2">
        <f t="shared" si="184"/>
        <v>-1.368508653015685E-5</v>
      </c>
      <c r="R433" s="2">
        <f t="shared" si="184"/>
        <v>0.70027185356594368</v>
      </c>
    </row>
    <row r="434" spans="1:18">
      <c r="A434" s="3" t="s">
        <v>3</v>
      </c>
      <c r="B434" s="2">
        <f>(B428-22.23)/(185.665-22.23)</f>
        <v>6.5550518301020341E-3</v>
      </c>
      <c r="C434" s="2">
        <f t="shared" ref="C434:R434" si="185">(C428-22.23)/(185.665-22.23)</f>
        <v>0.54984465502023583</v>
      </c>
      <c r="D434" s="2">
        <f t="shared" si="185"/>
        <v>0.20838153076782173</v>
      </c>
      <c r="E434" s="2">
        <f t="shared" si="185"/>
        <v>0.1026869619376066</v>
      </c>
      <c r="F434" s="2">
        <f t="shared" si="185"/>
        <v>8.1788283346157578E-2</v>
      </c>
      <c r="G434" s="2">
        <f t="shared" si="185"/>
        <v>0.38611803903518194</v>
      </c>
      <c r="H434" s="2">
        <f t="shared" si="185"/>
        <v>-2.7610574389155512E-6</v>
      </c>
      <c r="I434" s="2">
        <f t="shared" si="185"/>
        <v>0.20658914143626031</v>
      </c>
      <c r="J434" s="2">
        <f t="shared" si="185"/>
        <v>1.0000006857633545</v>
      </c>
      <c r="K434" s="2">
        <f t="shared" si="185"/>
        <v>0.2350191410609174</v>
      </c>
      <c r="L434" s="2">
        <f t="shared" si="185"/>
        <v>6.5541027340839331E-2</v>
      </c>
      <c r="M434" s="2">
        <f t="shared" si="185"/>
        <v>0.5263273925458446</v>
      </c>
      <c r="N434" s="2">
        <f t="shared" si="185"/>
        <v>0.44282992239659968</v>
      </c>
      <c r="O434" s="2">
        <f t="shared" si="185"/>
        <v>0.35653752527893101</v>
      </c>
      <c r="P434" s="2">
        <f t="shared" si="185"/>
        <v>0.2003262677664045</v>
      </c>
      <c r="Q434" s="2">
        <f t="shared" si="185"/>
        <v>9.469450880514127E-2</v>
      </c>
      <c r="R434" s="2">
        <f t="shared" si="185"/>
        <v>0.1775325750698436</v>
      </c>
    </row>
    <row r="435" spans="1:18">
      <c r="A435" s="3" t="s">
        <v>7</v>
      </c>
      <c r="B435" s="2">
        <f t="shared" ref="B435:R435" si="186">(B429-60.536)/(80.424-60.536)</f>
        <v>0.63009806133861856</v>
      </c>
      <c r="C435" s="2">
        <f t="shared" si="186"/>
        <v>0.49352471400820291</v>
      </c>
      <c r="D435" s="2">
        <f t="shared" si="186"/>
        <v>0.76095157270961256</v>
      </c>
      <c r="E435" s="2">
        <f t="shared" si="186"/>
        <v>0.51439647391244647</v>
      </c>
      <c r="F435" s="2">
        <f t="shared" si="186"/>
        <v>0.48015104095127858</v>
      </c>
      <c r="G435" s="2">
        <f t="shared" si="186"/>
        <v>0.83937611600572959</v>
      </c>
      <c r="H435" s="2">
        <f t="shared" si="186"/>
        <v>-1.3490179149138107E-5</v>
      </c>
      <c r="I435" s="2">
        <f t="shared" si="186"/>
        <v>0.20783583187802973</v>
      </c>
      <c r="J435" s="2">
        <f t="shared" si="186"/>
        <v>0.55476154268783273</v>
      </c>
      <c r="K435" s="2">
        <f t="shared" si="186"/>
        <v>0.64813197810176049</v>
      </c>
      <c r="L435" s="2">
        <f t="shared" si="186"/>
        <v>0.42562741596844778</v>
      </c>
      <c r="M435" s="2">
        <f t="shared" si="186"/>
        <v>0.29182200812354064</v>
      </c>
      <c r="N435" s="2">
        <f t="shared" si="186"/>
        <v>0.59047127327669113</v>
      </c>
      <c r="O435" s="2">
        <f t="shared" si="186"/>
        <v>0.57152247709122295</v>
      </c>
      <c r="P435" s="2">
        <f t="shared" si="186"/>
        <v>0.34678222435884937</v>
      </c>
      <c r="Q435" s="2">
        <f t="shared" si="186"/>
        <v>0.6600671075093697</v>
      </c>
      <c r="R435" s="2">
        <f t="shared" si="186"/>
        <v>0.60506396797676687</v>
      </c>
    </row>
    <row r="436" spans="1:18">
      <c r="A436" s="4" t="s">
        <v>8</v>
      </c>
      <c r="B436" s="2">
        <f t="shared" ref="B436:R436" si="187">(B430-46.02)/(145.778-46.02)</f>
        <v>0.29130054732452537</v>
      </c>
      <c r="C436" s="2">
        <f t="shared" si="187"/>
        <v>0.46678070931654608</v>
      </c>
      <c r="D436" s="2">
        <f t="shared" si="187"/>
        <v>0.34106415080049318</v>
      </c>
      <c r="E436" s="2">
        <f t="shared" si="187"/>
        <v>0.12160809158162757</v>
      </c>
      <c r="F436" s="2">
        <f t="shared" si="187"/>
        <v>0.2151566818974649</v>
      </c>
      <c r="G436" s="2">
        <f t="shared" si="187"/>
        <v>4.1990216323502867E-2</v>
      </c>
      <c r="H436" s="2">
        <f t="shared" si="187"/>
        <v>-4.0097034824893568E-6</v>
      </c>
      <c r="I436" s="2">
        <f t="shared" si="187"/>
        <v>7.4281461135948954E-2</v>
      </c>
      <c r="J436" s="2">
        <f t="shared" si="187"/>
        <v>0.11086168527837367</v>
      </c>
      <c r="K436" s="2">
        <f t="shared" si="187"/>
        <v>0.17991308967701841</v>
      </c>
      <c r="L436" s="2">
        <f t="shared" si="187"/>
        <v>0.27419615469436037</v>
      </c>
      <c r="M436" s="2">
        <f t="shared" si="187"/>
        <v>0.29590869905170514</v>
      </c>
      <c r="N436" s="2">
        <f t="shared" si="187"/>
        <v>0.11290763648028226</v>
      </c>
      <c r="O436" s="2">
        <f t="shared" si="187"/>
        <v>0.17153511497824733</v>
      </c>
      <c r="P436" s="2">
        <f t="shared" si="187"/>
        <v>0.16482338349715409</v>
      </c>
      <c r="Q436" s="2">
        <f t="shared" si="187"/>
        <v>0.40791443019379608</v>
      </c>
      <c r="R436" s="2">
        <f t="shared" si="187"/>
        <v>9.7957546150573366E-2</v>
      </c>
    </row>
    <row r="437" spans="1:18">
      <c r="A437" s="3" t="s">
        <v>62</v>
      </c>
      <c r="B437" s="2">
        <f t="shared" ref="B437:R437" si="188">(B431+B432+B433+B434+B435+B436)/6</f>
        <v>0.27813078267423402</v>
      </c>
      <c r="C437" s="2">
        <f t="shared" si="188"/>
        <v>0.30098649436600433</v>
      </c>
      <c r="D437" s="2">
        <f t="shared" si="188"/>
        <v>0.40206418425037699</v>
      </c>
      <c r="E437" s="2">
        <f t="shared" si="188"/>
        <v>0.28441393025725831</v>
      </c>
      <c r="F437" s="2">
        <f t="shared" si="188"/>
        <v>0.19705417403807091</v>
      </c>
      <c r="G437" s="2">
        <f t="shared" si="188"/>
        <v>0.2731632161899436</v>
      </c>
      <c r="H437" s="2">
        <f t="shared" si="188"/>
        <v>5.2838823171563916E-2</v>
      </c>
      <c r="I437" s="2">
        <f t="shared" si="188"/>
        <v>0.20037462617552471</v>
      </c>
      <c r="J437" s="2">
        <f t="shared" si="188"/>
        <v>0.53375320896088441</v>
      </c>
      <c r="K437" s="2">
        <f t="shared" si="188"/>
        <v>0.32707198037467916</v>
      </c>
      <c r="L437" s="2">
        <f t="shared" si="188"/>
        <v>0.2022990942210986</v>
      </c>
      <c r="M437" s="2">
        <f t="shared" si="188"/>
        <v>0.20129139980794633</v>
      </c>
      <c r="N437" s="2">
        <f t="shared" si="188"/>
        <v>0.3557979043527843</v>
      </c>
      <c r="O437" s="2">
        <f t="shared" si="188"/>
        <v>0.27261473405808845</v>
      </c>
      <c r="P437" s="2">
        <f t="shared" si="188"/>
        <v>0.23227679576637125</v>
      </c>
      <c r="Q437" s="2">
        <f t="shared" si="188"/>
        <v>0.29116744817358692</v>
      </c>
      <c r="R437" s="2">
        <f t="shared" si="188"/>
        <v>0.37501072966562438</v>
      </c>
    </row>
    <row r="439" spans="1:18">
      <c r="A439" s="1" t="s">
        <v>9</v>
      </c>
      <c r="B439" s="2" t="s">
        <v>28</v>
      </c>
      <c r="C439" s="2" t="s">
        <v>29</v>
      </c>
      <c r="D439" s="2" t="s">
        <v>30</v>
      </c>
      <c r="E439" s="2" t="s">
        <v>31</v>
      </c>
      <c r="F439" s="2" t="s">
        <v>32</v>
      </c>
      <c r="G439" s="2" t="s">
        <v>33</v>
      </c>
      <c r="H439" s="2" t="s">
        <v>34</v>
      </c>
      <c r="I439" s="2" t="s">
        <v>35</v>
      </c>
      <c r="J439" s="2" t="s">
        <v>36</v>
      </c>
      <c r="K439" s="2" t="s">
        <v>37</v>
      </c>
      <c r="L439" s="2" t="s">
        <v>38</v>
      </c>
      <c r="M439" s="2" t="s">
        <v>39</v>
      </c>
      <c r="N439" s="2" t="s">
        <v>40</v>
      </c>
      <c r="O439" s="2" t="s">
        <v>41</v>
      </c>
      <c r="P439" s="2" t="s">
        <v>42</v>
      </c>
      <c r="Q439" s="2" t="s">
        <v>43</v>
      </c>
      <c r="R439" s="2" t="s">
        <v>44</v>
      </c>
    </row>
    <row r="440" spans="1:18">
      <c r="B440" s="2">
        <v>1997</v>
      </c>
      <c r="C440" s="2">
        <v>1997</v>
      </c>
      <c r="D440" s="2">
        <v>1997</v>
      </c>
      <c r="E440" s="2">
        <v>1997</v>
      </c>
      <c r="F440" s="2">
        <v>1997</v>
      </c>
      <c r="G440" s="2">
        <v>1997</v>
      </c>
      <c r="H440" s="2">
        <v>1997</v>
      </c>
      <c r="I440" s="2">
        <v>1997</v>
      </c>
      <c r="J440" s="2">
        <v>1997</v>
      </c>
      <c r="K440" s="2">
        <v>1997</v>
      </c>
      <c r="L440" s="2">
        <v>1997</v>
      </c>
      <c r="M440" s="2">
        <v>1997</v>
      </c>
      <c r="N440" s="2">
        <v>1997</v>
      </c>
      <c r="O440" s="2">
        <v>1997</v>
      </c>
      <c r="P440" s="2">
        <v>1997</v>
      </c>
      <c r="Q440" s="2">
        <v>1997</v>
      </c>
      <c r="R440" s="2">
        <v>1997</v>
      </c>
    </row>
    <row r="441" spans="1:18">
      <c r="A441" s="1" t="s">
        <v>0</v>
      </c>
      <c r="B441" s="3">
        <v>26790.332254665162</v>
      </c>
      <c r="C441" s="3">
        <v>27975.51557809658</v>
      </c>
      <c r="D441" s="3">
        <v>28799.350346430521</v>
      </c>
      <c r="E441" s="3">
        <v>29481.606988967778</v>
      </c>
      <c r="F441" s="3">
        <v>23947.080310534049</v>
      </c>
      <c r="G441" s="3">
        <v>25883.214132040521</v>
      </c>
      <c r="H441" s="3">
        <v>26004.999659638128</v>
      </c>
      <c r="I441" s="3">
        <v>30832.78924630475</v>
      </c>
      <c r="J441" s="3">
        <v>29064.95181273</v>
      </c>
      <c r="K441" s="3">
        <v>30394.906856957263</v>
      </c>
      <c r="L441" s="3">
        <v>21207.199149346252</v>
      </c>
      <c r="M441" s="3">
        <v>41445.835850773445</v>
      </c>
      <c r="N441" s="3">
        <v>22252.46395269538</v>
      </c>
      <c r="O441" s="3">
        <v>25660.335982753553</v>
      </c>
      <c r="P441" s="3">
        <v>33651.535512569841</v>
      </c>
      <c r="Q441" s="3">
        <v>26726.14760516235</v>
      </c>
      <c r="R441" s="3">
        <v>37189.659976784016</v>
      </c>
    </row>
    <row r="442" spans="1:18">
      <c r="A442" s="1" t="s">
        <v>1</v>
      </c>
      <c r="B442" s="2">
        <v>42308</v>
      </c>
      <c r="C442" s="2">
        <v>49926</v>
      </c>
      <c r="D442" s="2">
        <v>43935</v>
      </c>
      <c r="E442" s="2">
        <v>42103</v>
      </c>
      <c r="F442" s="2">
        <v>41669</v>
      </c>
      <c r="G442" s="2">
        <v>47378</v>
      </c>
      <c r="H442" s="2">
        <v>46084</v>
      </c>
      <c r="I442" s="2">
        <v>44169</v>
      </c>
      <c r="J442" s="2">
        <v>38535</v>
      </c>
      <c r="K442" s="2">
        <v>41334</v>
      </c>
      <c r="L442" s="2">
        <v>32711</v>
      </c>
      <c r="M442" s="2">
        <v>46805</v>
      </c>
      <c r="N442" s="2">
        <v>38843</v>
      </c>
      <c r="O442" s="2">
        <v>40437</v>
      </c>
      <c r="P442" s="2">
        <v>38301</v>
      </c>
      <c r="Q442" s="2">
        <v>40997</v>
      </c>
      <c r="R442" s="2">
        <v>53836</v>
      </c>
    </row>
    <row r="443" spans="1:18">
      <c r="A443" s="1" t="s">
        <v>2</v>
      </c>
      <c r="B443" s="2">
        <v>24.537991925791058</v>
      </c>
      <c r="C443" s="2">
        <v>24.751572284451427</v>
      </c>
      <c r="D443" s="2">
        <v>22.696897023222199</v>
      </c>
      <c r="E443" s="2">
        <v>24.482494862926991</v>
      </c>
      <c r="F443" s="2">
        <v>26.57664369528776</v>
      </c>
      <c r="G443" s="2">
        <v>19.708539458949705</v>
      </c>
      <c r="H443" s="2">
        <v>23.378213466087256</v>
      </c>
      <c r="I443" s="2">
        <v>34.332519116544916</v>
      </c>
      <c r="J443" s="2">
        <v>29.161447963420372</v>
      </c>
      <c r="K443" s="2">
        <v>27.929767967811781</v>
      </c>
      <c r="L443" s="2">
        <v>22.017757368818216</v>
      </c>
      <c r="M443" s="2">
        <v>31.570219134630417</v>
      </c>
      <c r="N443" s="2">
        <v>22.929784628939853</v>
      </c>
      <c r="O443" s="2">
        <v>23.753691176561883</v>
      </c>
      <c r="P443" s="2">
        <v>27.298965646955232</v>
      </c>
      <c r="Q443" s="2">
        <v>17.866173628438254</v>
      </c>
      <c r="R443" s="2">
        <v>18.202628232301823</v>
      </c>
    </row>
    <row r="444" spans="1:18">
      <c r="A444" s="1" t="s">
        <v>3</v>
      </c>
      <c r="B444" s="2">
        <v>79.00824055464075</v>
      </c>
      <c r="C444" s="2">
        <v>135.81512734036744</v>
      </c>
      <c r="D444" s="2">
        <v>77.019325209321508</v>
      </c>
      <c r="E444" s="2">
        <v>73.796796669630908</v>
      </c>
      <c r="F444" s="2">
        <v>70.11827155894953</v>
      </c>
      <c r="G444" s="2">
        <v>48.977367636599496</v>
      </c>
      <c r="H444" s="2">
        <v>46.492921085487751</v>
      </c>
      <c r="I444" s="2">
        <v>146.09855903395788</v>
      </c>
      <c r="J444" s="2">
        <v>20.38760447042737</v>
      </c>
      <c r="K444" s="2">
        <v>120.96149744183124</v>
      </c>
      <c r="L444" s="2">
        <v>54.985833953189022</v>
      </c>
      <c r="M444" s="2">
        <v>74.509527107020801</v>
      </c>
      <c r="N444" s="2">
        <v>51.744023368742319</v>
      </c>
      <c r="O444" s="2">
        <v>76.650605177062658</v>
      </c>
      <c r="P444" s="2">
        <v>73.747225112419756</v>
      </c>
      <c r="Q444" s="2">
        <v>56.641117234199143</v>
      </c>
      <c r="R444" s="2">
        <v>24.346878217162235</v>
      </c>
    </row>
    <row r="445" spans="1:18">
      <c r="A445" s="6" t="s">
        <v>27</v>
      </c>
      <c r="B445" s="2">
        <v>77.387560975609759</v>
      </c>
      <c r="C445" s="2">
        <v>77.221951219512206</v>
      </c>
      <c r="D445" s="2">
        <v>78.480487804878052</v>
      </c>
      <c r="E445" s="2">
        <v>75.945121951219519</v>
      </c>
      <c r="F445" s="2">
        <v>76.878536585365865</v>
      </c>
      <c r="G445" s="2">
        <v>78.304878048780495</v>
      </c>
      <c r="H445" s="2">
        <v>78.628536585365865</v>
      </c>
      <c r="I445" s="2">
        <v>75.969756097560989</v>
      </c>
      <c r="J445" s="2">
        <v>80.424146341463413</v>
      </c>
      <c r="K445" s="2">
        <v>77.794390243902441</v>
      </c>
      <c r="L445" s="2">
        <v>77.334146341463423</v>
      </c>
      <c r="M445" s="2">
        <v>78.142682926829266</v>
      </c>
      <c r="N445" s="2">
        <v>78.604146341463419</v>
      </c>
      <c r="O445" s="2">
        <v>79.197560975609775</v>
      </c>
      <c r="P445" s="2">
        <v>79.079512195121964</v>
      </c>
      <c r="Q445" s="2">
        <v>77.210975609756119</v>
      </c>
      <c r="R445" s="2">
        <v>76.429268292682934</v>
      </c>
    </row>
    <row r="446" spans="1:18">
      <c r="A446" s="6" t="s">
        <v>8</v>
      </c>
      <c r="B446" s="2">
        <v>104.22449</v>
      </c>
      <c r="C446" s="2">
        <v>145.777581060606</v>
      </c>
      <c r="D446" s="2">
        <v>105.811083484848</v>
      </c>
      <c r="E446" s="2">
        <v>118.753504545455</v>
      </c>
      <c r="F446" s="2">
        <v>117.72547</v>
      </c>
      <c r="G446" s="2">
        <v>110.91631</v>
      </c>
      <c r="H446" s="2">
        <v>90.339429999999993</v>
      </c>
      <c r="I446" s="2">
        <v>116.1433</v>
      </c>
      <c r="J446" s="2">
        <v>101.542491818182</v>
      </c>
      <c r="K446" s="2">
        <v>130.70962</v>
      </c>
      <c r="L446" s="2">
        <v>114.66694</v>
      </c>
      <c r="M446" s="2">
        <v>117.47880000000001</v>
      </c>
      <c r="N446" s="2">
        <v>116.44444</v>
      </c>
      <c r="O446" s="2">
        <v>139.18782999999999</v>
      </c>
      <c r="P446" s="2">
        <v>102.131352424242</v>
      </c>
      <c r="Q446" s="2">
        <v>99.233840000000001</v>
      </c>
      <c r="R446" s="2">
        <v>95.414779769119804</v>
      </c>
    </row>
    <row r="447" spans="1:18">
      <c r="A447" s="3" t="s">
        <v>4</v>
      </c>
      <c r="B447" s="2">
        <f t="shared" ref="B447:R447" si="189">(B441-1530.197)/(41445.84-1530.197)</f>
        <v>0.63283798922305134</v>
      </c>
      <c r="C447" s="2">
        <f t="shared" si="189"/>
        <v>0.66253019093533283</v>
      </c>
      <c r="D447" s="2">
        <f t="shared" si="189"/>
        <v>0.68316958708220044</v>
      </c>
      <c r="E447" s="2">
        <f t="shared" si="189"/>
        <v>0.70026204986771179</v>
      </c>
      <c r="F447" s="2">
        <f t="shared" si="189"/>
        <v>0.56160646868532349</v>
      </c>
      <c r="G447" s="2">
        <f t="shared" si="189"/>
        <v>0.61011210898044466</v>
      </c>
      <c r="H447" s="2">
        <f t="shared" si="189"/>
        <v>0.61316318165382255</v>
      </c>
      <c r="I447" s="2">
        <f t="shared" si="189"/>
        <v>0.73411299540645636</v>
      </c>
      <c r="J447" s="2">
        <f t="shared" si="189"/>
        <v>0.68982365667339995</v>
      </c>
      <c r="K447" s="2">
        <f t="shared" si="189"/>
        <v>0.72314280035416856</v>
      </c>
      <c r="L447" s="2">
        <f t="shared" si="189"/>
        <v>0.49296467926988558</v>
      </c>
      <c r="M447" s="2">
        <f t="shared" si="189"/>
        <v>0.99999989605011375</v>
      </c>
      <c r="N447" s="2">
        <f t="shared" si="189"/>
        <v>0.51915152544819032</v>
      </c>
      <c r="O447" s="2">
        <f t="shared" si="189"/>
        <v>0.60452837958174832</v>
      </c>
      <c r="P447" s="2">
        <f t="shared" si="189"/>
        <v>0.80473057925109315</v>
      </c>
      <c r="Q447" s="2">
        <f t="shared" si="189"/>
        <v>0.63122998181846535</v>
      </c>
      <c r="R447" s="2">
        <f t="shared" si="189"/>
        <v>0.89337062606717921</v>
      </c>
    </row>
    <row r="448" spans="1:18">
      <c r="A448" s="3" t="s">
        <v>5</v>
      </c>
      <c r="B448" s="2">
        <f t="shared" ref="B448:R448" si="190">(B442-4135)/(53836-4135)</f>
        <v>0.76805295668095208</v>
      </c>
      <c r="C448" s="2">
        <f t="shared" si="190"/>
        <v>0.92132955071326528</v>
      </c>
      <c r="D448" s="2">
        <f t="shared" si="190"/>
        <v>0.80078871652481842</v>
      </c>
      <c r="E448" s="2">
        <f t="shared" si="190"/>
        <v>0.76392829118126393</v>
      </c>
      <c r="F448" s="2">
        <f t="shared" si="190"/>
        <v>0.75519607251363152</v>
      </c>
      <c r="G448" s="2">
        <f t="shared" si="190"/>
        <v>0.87006297660006837</v>
      </c>
      <c r="H448" s="2">
        <f t="shared" si="190"/>
        <v>0.84402728315325648</v>
      </c>
      <c r="I448" s="2">
        <f t="shared" si="190"/>
        <v>0.80549687129031611</v>
      </c>
      <c r="J448" s="2">
        <f t="shared" si="190"/>
        <v>0.6921389911671797</v>
      </c>
      <c r="K448" s="2">
        <f t="shared" si="190"/>
        <v>0.74845576547755577</v>
      </c>
      <c r="L448" s="2">
        <f t="shared" si="190"/>
        <v>0.57495825033701531</v>
      </c>
      <c r="M448" s="2">
        <f t="shared" si="190"/>
        <v>0.85853403352045232</v>
      </c>
      <c r="N448" s="2">
        <f t="shared" si="190"/>
        <v>0.69833604957646722</v>
      </c>
      <c r="O448" s="2">
        <f t="shared" si="190"/>
        <v>0.73040783887648131</v>
      </c>
      <c r="P448" s="2">
        <f t="shared" si="190"/>
        <v>0.68743083640168201</v>
      </c>
      <c r="Q448" s="2">
        <f t="shared" si="190"/>
        <v>0.74167521780245871</v>
      </c>
      <c r="R448" s="2">
        <f t="shared" si="190"/>
        <v>1</v>
      </c>
    </row>
    <row r="449" spans="1:18">
      <c r="A449" s="3" t="s">
        <v>6</v>
      </c>
      <c r="B449" s="2">
        <f t="shared" ref="B449:R449" si="191">(B443-14.055)/(43.887-14.055)</f>
        <v>0.35140090928503143</v>
      </c>
      <c r="C449" s="2">
        <f t="shared" si="191"/>
        <v>0.35856034742730714</v>
      </c>
      <c r="D449" s="2">
        <f t="shared" si="191"/>
        <v>0.28968547275483369</v>
      </c>
      <c r="E449" s="2">
        <f t="shared" si="191"/>
        <v>0.34954058939819627</v>
      </c>
      <c r="F449" s="2">
        <f t="shared" si="191"/>
        <v>0.41973865967041302</v>
      </c>
      <c r="G449" s="2">
        <f t="shared" si="191"/>
        <v>0.18951258577868413</v>
      </c>
      <c r="H449" s="2">
        <f t="shared" si="191"/>
        <v>0.31252391613325475</v>
      </c>
      <c r="I449" s="2">
        <f t="shared" si="191"/>
        <v>0.67972375692360265</v>
      </c>
      <c r="J449" s="2">
        <f t="shared" si="191"/>
        <v>0.50638401593659066</v>
      </c>
      <c r="K449" s="2">
        <f t="shared" si="191"/>
        <v>0.4650968077169409</v>
      </c>
      <c r="L449" s="2">
        <f t="shared" si="191"/>
        <v>0.26691999761391177</v>
      </c>
      <c r="M449" s="2">
        <f t="shared" si="191"/>
        <v>0.58712855774438244</v>
      </c>
      <c r="N449" s="2">
        <f t="shared" si="191"/>
        <v>0.29749211011463705</v>
      </c>
      <c r="O449" s="2">
        <f t="shared" si="191"/>
        <v>0.3251103236981055</v>
      </c>
      <c r="P449" s="2">
        <f t="shared" si="191"/>
        <v>0.44395165080970878</v>
      </c>
      <c r="Q449" s="2">
        <f t="shared" si="191"/>
        <v>0.12775454640782563</v>
      </c>
      <c r="R449" s="2">
        <f t="shared" si="191"/>
        <v>0.13903285841719706</v>
      </c>
    </row>
    <row r="450" spans="1:18">
      <c r="A450" s="3" t="s">
        <v>3</v>
      </c>
      <c r="B450" s="2">
        <f>(B444-20.388)/(185.665-20.388)</f>
        <v>0.35467875478524385</v>
      </c>
      <c r="C450" s="2">
        <f t="shared" ref="C450:R450" si="192">(C444-20.388)/(146.099-20.388)</f>
        <v>0.91819432937744072</v>
      </c>
      <c r="D450" s="2">
        <f t="shared" si="192"/>
        <v>0.45048822465274724</v>
      </c>
      <c r="E450" s="2">
        <f t="shared" si="192"/>
        <v>0.42485380491469249</v>
      </c>
      <c r="F450" s="2">
        <f t="shared" si="192"/>
        <v>0.39559204492009076</v>
      </c>
      <c r="G450" s="2">
        <f t="shared" si="192"/>
        <v>0.22742136834962332</v>
      </c>
      <c r="H450" s="2">
        <f t="shared" si="192"/>
        <v>0.20765820879229147</v>
      </c>
      <c r="I450" s="2">
        <f t="shared" si="192"/>
        <v>0.99999649222389364</v>
      </c>
      <c r="J450" s="2">
        <f t="shared" si="192"/>
        <v>-3.1463401980106275E-6</v>
      </c>
      <c r="K450" s="2">
        <f t="shared" si="192"/>
        <v>0.80003736699120398</v>
      </c>
      <c r="L450" s="2">
        <f t="shared" si="192"/>
        <v>0.27521723598721692</v>
      </c>
      <c r="M450" s="2">
        <f t="shared" si="192"/>
        <v>0.43052339975834097</v>
      </c>
      <c r="N450" s="2">
        <f t="shared" si="192"/>
        <v>0.2494294323387955</v>
      </c>
      <c r="O450" s="2">
        <f t="shared" si="192"/>
        <v>0.44755514773617788</v>
      </c>
      <c r="P450" s="2">
        <f t="shared" si="192"/>
        <v>0.42445947540326429</v>
      </c>
      <c r="Q450" s="2">
        <f t="shared" si="192"/>
        <v>0.28838460623333789</v>
      </c>
      <c r="R450" s="2">
        <f t="shared" si="192"/>
        <v>3.1491899811171925E-2</v>
      </c>
    </row>
    <row r="451" spans="1:18">
      <c r="A451" s="3" t="s">
        <v>7</v>
      </c>
      <c r="B451" s="2">
        <f>(B445-60.536)/(80.424-60.536)</f>
        <v>0.84732305790475426</v>
      </c>
      <c r="C451" s="2">
        <f t="shared" ref="C451:R451" si="193">(C445-60.536)/(80.424-60.536)</f>
        <v>0.83899593822969631</v>
      </c>
      <c r="D451" s="2">
        <f t="shared" si="193"/>
        <v>0.90227714224044886</v>
      </c>
      <c r="E451" s="2">
        <f t="shared" si="193"/>
        <v>0.77479494927692649</v>
      </c>
      <c r="F451" s="2">
        <f t="shared" si="193"/>
        <v>0.82172850891823501</v>
      </c>
      <c r="G451" s="2">
        <f t="shared" si="193"/>
        <v>0.89344720679708811</v>
      </c>
      <c r="H451" s="2">
        <f t="shared" si="193"/>
        <v>0.90972126837117151</v>
      </c>
      <c r="I451" s="2">
        <f t="shared" si="193"/>
        <v>0.77603359299884267</v>
      </c>
      <c r="J451" s="2">
        <f t="shared" si="193"/>
        <v>1.0000073582795357</v>
      </c>
      <c r="K451" s="2">
        <f t="shared" si="193"/>
        <v>0.8677790750152069</v>
      </c>
      <c r="L451" s="2">
        <f t="shared" si="193"/>
        <v>0.84463728587406561</v>
      </c>
      <c r="M451" s="2">
        <f t="shared" si="193"/>
        <v>0.88529178031120581</v>
      </c>
      <c r="N451" s="2">
        <f t="shared" si="193"/>
        <v>0.90849488844848214</v>
      </c>
      <c r="O451" s="2">
        <f t="shared" si="193"/>
        <v>0.93833271196750645</v>
      </c>
      <c r="P451" s="2">
        <f t="shared" si="193"/>
        <v>0.93239703314169142</v>
      </c>
      <c r="Q451" s="2">
        <f t="shared" si="193"/>
        <v>0.83844406726448673</v>
      </c>
      <c r="R451" s="2">
        <f t="shared" si="193"/>
        <v>0.79913859074230331</v>
      </c>
    </row>
    <row r="452" spans="1:18">
      <c r="A452" s="4" t="s">
        <v>8</v>
      </c>
      <c r="B452" s="2">
        <f>(B446-46.02)/(145.778-46.02)</f>
        <v>0.58345686561478793</v>
      </c>
      <c r="C452" s="2">
        <f t="shared" ref="C452:R452" si="194">(C446-46.02)/(145.778-46.02)</f>
        <v>0.99999580044313241</v>
      </c>
      <c r="D452" s="2">
        <f t="shared" si="194"/>
        <v>0.59936128916826725</v>
      </c>
      <c r="E452" s="2">
        <f t="shared" si="194"/>
        <v>0.72909946616266375</v>
      </c>
      <c r="F452" s="2">
        <f t="shared" si="194"/>
        <v>0.71879418192024702</v>
      </c>
      <c r="G452" s="2">
        <f t="shared" si="194"/>
        <v>0.65053740050923248</v>
      </c>
      <c r="H452" s="2">
        <f t="shared" si="194"/>
        <v>0.44426943202550168</v>
      </c>
      <c r="I452" s="2">
        <f t="shared" si="194"/>
        <v>0.70293410052326644</v>
      </c>
      <c r="J452" s="2">
        <f t="shared" si="194"/>
        <v>0.55657182199103838</v>
      </c>
      <c r="K452" s="2">
        <f t="shared" si="194"/>
        <v>0.84895066059864877</v>
      </c>
      <c r="L452" s="2">
        <f t="shared" si="194"/>
        <v>0.68813468593997484</v>
      </c>
      <c r="M452" s="2">
        <f t="shared" si="194"/>
        <v>0.71632149802522116</v>
      </c>
      <c r="N452" s="2">
        <f t="shared" si="194"/>
        <v>0.70595280579001196</v>
      </c>
      <c r="O452" s="2">
        <f t="shared" si="194"/>
        <v>0.93393843100302731</v>
      </c>
      <c r="P452" s="2">
        <f t="shared" si="194"/>
        <v>0.56247471304799623</v>
      </c>
      <c r="Q452" s="2">
        <f t="shared" si="194"/>
        <v>0.53342929890334623</v>
      </c>
      <c r="R452" s="2">
        <f t="shared" si="194"/>
        <v>0.49514605113494464</v>
      </c>
    </row>
    <row r="453" spans="1:18">
      <c r="A453" s="4" t="s">
        <v>62</v>
      </c>
      <c r="B453" s="2">
        <f>(B447+B448+B449+B450+B451+B452)/6</f>
        <v>0.58962508891563681</v>
      </c>
      <c r="C453" s="2">
        <f t="shared" ref="C453:R453" si="195">(C447+C448+C449+C450+C451+C452)/6</f>
        <v>0.78326769285436237</v>
      </c>
      <c r="D453" s="2">
        <f t="shared" si="195"/>
        <v>0.62096173873721938</v>
      </c>
      <c r="E453" s="2">
        <f t="shared" si="195"/>
        <v>0.62374652513357576</v>
      </c>
      <c r="F453" s="2">
        <f t="shared" si="195"/>
        <v>0.61210932277132357</v>
      </c>
      <c r="G453" s="2">
        <f t="shared" si="195"/>
        <v>0.57351560783585687</v>
      </c>
      <c r="H453" s="2">
        <f t="shared" si="195"/>
        <v>0.55522721502154981</v>
      </c>
      <c r="I453" s="2">
        <f t="shared" si="195"/>
        <v>0.78304963489439627</v>
      </c>
      <c r="J453" s="2">
        <f t="shared" si="195"/>
        <v>0.57415378295125774</v>
      </c>
      <c r="K453" s="2">
        <f t="shared" si="195"/>
        <v>0.74224374602562093</v>
      </c>
      <c r="L453" s="2">
        <f t="shared" si="195"/>
        <v>0.52380535583701171</v>
      </c>
      <c r="M453" s="2">
        <f t="shared" si="195"/>
        <v>0.74629986090161937</v>
      </c>
      <c r="N453" s="2">
        <f t="shared" si="195"/>
        <v>0.563142801952764</v>
      </c>
      <c r="O453" s="2">
        <f t="shared" si="195"/>
        <v>0.66331213881050777</v>
      </c>
      <c r="P453" s="2">
        <f t="shared" si="195"/>
        <v>0.64257404800923934</v>
      </c>
      <c r="Q453" s="2">
        <f t="shared" si="195"/>
        <v>0.52681961973832003</v>
      </c>
      <c r="R453" s="2">
        <f t="shared" si="195"/>
        <v>0.55969667102879928</v>
      </c>
    </row>
    <row r="455" spans="1:18">
      <c r="A455" s="1" t="s">
        <v>9</v>
      </c>
      <c r="B455" s="2" t="s">
        <v>10</v>
      </c>
      <c r="C455" s="2" t="s">
        <v>11</v>
      </c>
      <c r="D455" s="2" t="s">
        <v>12</v>
      </c>
      <c r="E455" s="2" t="s">
        <v>13</v>
      </c>
      <c r="F455" s="2" t="s">
        <v>14</v>
      </c>
      <c r="G455" s="2" t="s">
        <v>15</v>
      </c>
      <c r="H455" s="2" t="s">
        <v>16</v>
      </c>
      <c r="I455" s="2" t="s">
        <v>17</v>
      </c>
      <c r="J455" s="2" t="s">
        <v>18</v>
      </c>
      <c r="K455" s="2" t="s">
        <v>19</v>
      </c>
      <c r="L455" s="2" t="s">
        <v>20</v>
      </c>
      <c r="M455" s="2" t="s">
        <v>21</v>
      </c>
      <c r="N455" s="2" t="s">
        <v>22</v>
      </c>
      <c r="O455" s="2" t="s">
        <v>23</v>
      </c>
      <c r="P455" s="2" t="s">
        <v>24</v>
      </c>
      <c r="Q455" s="2" t="s">
        <v>25</v>
      </c>
      <c r="R455" s="2" t="s">
        <v>26</v>
      </c>
    </row>
    <row r="456" spans="1:18">
      <c r="B456" s="2">
        <v>1996</v>
      </c>
      <c r="C456" s="2">
        <v>1996</v>
      </c>
      <c r="D456" s="2">
        <v>1996</v>
      </c>
      <c r="E456" s="2">
        <v>1996</v>
      </c>
      <c r="F456" s="2">
        <v>1996</v>
      </c>
      <c r="G456" s="2">
        <v>1996</v>
      </c>
      <c r="H456" s="2">
        <v>1996</v>
      </c>
      <c r="I456" s="2">
        <v>1996</v>
      </c>
      <c r="J456" s="2">
        <v>1996</v>
      </c>
      <c r="K456" s="2">
        <v>1996</v>
      </c>
      <c r="L456" s="2">
        <v>1996</v>
      </c>
      <c r="M456" s="2">
        <v>1996</v>
      </c>
      <c r="N456" s="2">
        <v>1996</v>
      </c>
      <c r="O456" s="2">
        <v>1996</v>
      </c>
      <c r="P456" s="2">
        <v>1996</v>
      </c>
      <c r="Q456" s="2">
        <v>1996</v>
      </c>
      <c r="R456" s="2">
        <v>1996</v>
      </c>
    </row>
    <row r="457" spans="1:18">
      <c r="A457" s="1" t="s">
        <v>0</v>
      </c>
      <c r="B457" s="3">
        <v>10006.226078375888</v>
      </c>
      <c r="C457" s="3">
        <v>6250.5706695354011</v>
      </c>
      <c r="D457" s="3">
        <v>10150.516098574335</v>
      </c>
      <c r="E457" s="3">
        <v>2012.8593312634948</v>
      </c>
      <c r="F457" s="3">
        <v>6793.0273776354798</v>
      </c>
      <c r="G457" s="3">
        <v>7091.7423431254301</v>
      </c>
      <c r="H457" s="3">
        <v>1496.8022285366883</v>
      </c>
      <c r="I457" s="3">
        <v>2952.5307689230913</v>
      </c>
      <c r="J457" s="3">
        <v>10183.508124939217</v>
      </c>
      <c r="K457" s="3">
        <v>10424.481472372776</v>
      </c>
      <c r="L457" s="3">
        <v>5334.3083950892151</v>
      </c>
      <c r="M457" s="3">
        <v>2602.7187732216489</v>
      </c>
      <c r="N457" s="3">
        <v>6035.6060328970671</v>
      </c>
      <c r="O457" s="3">
        <v>5191.2756565373829</v>
      </c>
      <c r="P457" s="3">
        <v>9263.3050747671732</v>
      </c>
      <c r="Q457" s="3">
        <v>8951.4880596698385</v>
      </c>
      <c r="R457" s="3">
        <v>9910.5791602547997</v>
      </c>
    </row>
    <row r="458" spans="1:18">
      <c r="A458" s="1" t="s">
        <v>1</v>
      </c>
      <c r="B458" s="2">
        <v>22502</v>
      </c>
      <c r="C458" s="2">
        <v>10936</v>
      </c>
      <c r="D458" s="2">
        <v>26991</v>
      </c>
      <c r="E458" s="2">
        <v>3978</v>
      </c>
      <c r="F458" s="2">
        <v>15200</v>
      </c>
      <c r="G458" s="2">
        <v>15022</v>
      </c>
      <c r="H458" s="2">
        <v>4374</v>
      </c>
      <c r="I458" s="2">
        <v>8270</v>
      </c>
      <c r="J458" s="2">
        <v>18496</v>
      </c>
      <c r="K458" s="2">
        <v>17256</v>
      </c>
      <c r="L458" s="2">
        <v>11497</v>
      </c>
      <c r="M458" s="2">
        <v>6199</v>
      </c>
      <c r="N458" s="2">
        <v>13221</v>
      </c>
      <c r="O458" s="2">
        <v>12112</v>
      </c>
      <c r="P458" s="2">
        <v>17643</v>
      </c>
      <c r="Q458" s="2">
        <v>21915</v>
      </c>
      <c r="R458" s="2">
        <v>25408</v>
      </c>
    </row>
    <row r="459" spans="1:18">
      <c r="A459" s="1" t="s">
        <v>2</v>
      </c>
      <c r="B459" s="2">
        <v>17.412622451921511</v>
      </c>
      <c r="C459" s="2">
        <v>11.625504124685271</v>
      </c>
      <c r="D459" s="2">
        <v>25.694355230378669</v>
      </c>
      <c r="E459" s="2">
        <v>42.491668473500418</v>
      </c>
      <c r="F459" s="2">
        <v>16.505754875449092</v>
      </c>
      <c r="G459" s="2">
        <v>12.486398383108567</v>
      </c>
      <c r="H459" s="2">
        <v>20.918224089837988</v>
      </c>
      <c r="I459" s="2">
        <v>30.075859503603979</v>
      </c>
      <c r="J459" s="2">
        <v>42.864352761507298</v>
      </c>
      <c r="K459" s="2">
        <v>25.295231978442501</v>
      </c>
      <c r="L459" s="2">
        <v>17.966770687769134</v>
      </c>
      <c r="M459" s="2">
        <v>15.229184105138213</v>
      </c>
      <c r="N459" s="2">
        <v>35.541628107225776</v>
      </c>
      <c r="O459" s="2">
        <v>23.512165443741051</v>
      </c>
      <c r="P459" s="2">
        <v>18.267316337783615</v>
      </c>
      <c r="Q459" s="2">
        <v>15.051735414113891</v>
      </c>
      <c r="R459" s="2">
        <v>31.741650038885531</v>
      </c>
    </row>
    <row r="460" spans="1:18">
      <c r="A460" s="1" t="s">
        <v>3</v>
      </c>
      <c r="B460" s="2">
        <v>21.467812048653208</v>
      </c>
      <c r="C460" s="2">
        <v>116.19711986564261</v>
      </c>
      <c r="D460" s="2">
        <v>56.24194852504646</v>
      </c>
      <c r="E460" s="2">
        <v>38.057564154162606</v>
      </c>
      <c r="F460" s="2">
        <v>36.044107186328247</v>
      </c>
      <c r="G460" s="2">
        <v>82.101113295400765</v>
      </c>
      <c r="H460" s="2">
        <v>21.551539946826992</v>
      </c>
      <c r="I460" s="2">
        <v>52.264743683483687</v>
      </c>
      <c r="J460" s="2">
        <v>181.76626901405876</v>
      </c>
      <c r="K460" s="2">
        <v>62.09542659796908</v>
      </c>
      <c r="L460" s="2">
        <v>31.452244029524795</v>
      </c>
      <c r="M460" s="2">
        <v>89.799955983686345</v>
      </c>
      <c r="N460" s="2">
        <v>84.777901031545341</v>
      </c>
      <c r="O460" s="2">
        <v>85.720354762067103</v>
      </c>
      <c r="P460" s="2">
        <v>49.369314886372834</v>
      </c>
      <c r="Q460" s="2">
        <v>39.528436455288862</v>
      </c>
      <c r="R460" s="2">
        <v>57.841395256596641</v>
      </c>
    </row>
    <row r="461" spans="1:18">
      <c r="A461" s="6" t="s">
        <v>27</v>
      </c>
      <c r="B461" s="5">
        <v>72.846292682926844</v>
      </c>
      <c r="C461" s="5">
        <v>70.897317073170726</v>
      </c>
      <c r="D461" s="5">
        <v>75.339634146341481</v>
      </c>
      <c r="E461" s="5">
        <v>70.599024390243912</v>
      </c>
      <c r="F461" s="5">
        <v>69.75760975609758</v>
      </c>
      <c r="G461" s="5">
        <v>77.021658536585377</v>
      </c>
      <c r="H461" s="5">
        <v>60.178609756097572</v>
      </c>
      <c r="I461" s="5">
        <v>64.327804878048795</v>
      </c>
      <c r="J461" s="5">
        <v>71.368512195121966</v>
      </c>
      <c r="K461" s="5">
        <v>73.094292682926834</v>
      </c>
      <c r="L461" s="5">
        <v>68.492097560975608</v>
      </c>
      <c r="M461" s="5">
        <v>66.180634146341461</v>
      </c>
      <c r="N461" s="5">
        <v>72.253926829268309</v>
      </c>
      <c r="O461" s="5">
        <v>71.553658536585374</v>
      </c>
      <c r="P461" s="5">
        <v>66.745975609756101</v>
      </c>
      <c r="Q461" s="5">
        <v>73.528048780487822</v>
      </c>
      <c r="R461" s="5">
        <v>72.379512195121961</v>
      </c>
    </row>
    <row r="462" spans="1:18">
      <c r="A462" s="6" t="s">
        <v>48</v>
      </c>
      <c r="B462" s="5">
        <v>78.267409999999998</v>
      </c>
      <c r="C462" s="5">
        <v>93.057259999999999</v>
      </c>
      <c r="D462" s="5">
        <v>79.850570222222203</v>
      </c>
      <c r="E462" s="5">
        <v>56.00235</v>
      </c>
      <c r="F462" s="5">
        <v>67.875659999999996</v>
      </c>
      <c r="G462" s="5">
        <v>49.44858</v>
      </c>
      <c r="H462" s="5">
        <v>45.243569999999998</v>
      </c>
      <c r="I462" s="5">
        <v>49.699739999999998</v>
      </c>
      <c r="J462" s="5">
        <v>56.567169999999997</v>
      </c>
      <c r="K462" s="5">
        <v>61.355600000000003</v>
      </c>
      <c r="L462" s="5">
        <v>72.725489999999994</v>
      </c>
      <c r="M462" s="5">
        <v>75.728059999999999</v>
      </c>
      <c r="N462" s="5">
        <v>54.044820000000001</v>
      </c>
      <c r="O462" s="5">
        <v>61.71604</v>
      </c>
      <c r="P462" s="5">
        <v>60.776063272727299</v>
      </c>
      <c r="Q462" s="5">
        <v>85.886719999999997</v>
      </c>
      <c r="R462" s="5">
        <v>55.907994722222199</v>
      </c>
    </row>
    <row r="463" spans="1:18">
      <c r="A463" s="3" t="s">
        <v>4</v>
      </c>
      <c r="B463" s="2">
        <f>(B457-1496.802)/(39538.99-1496.802)</f>
        <v>0.22368387639469869</v>
      </c>
      <c r="C463" s="2">
        <f t="shared" ref="C463:R463" si="196">(C457-1496.802)/(39538.99-1496.802)</f>
        <v>0.12496044311477042</v>
      </c>
      <c r="D463" s="2">
        <f t="shared" si="196"/>
        <v>0.22747677127757049</v>
      </c>
      <c r="E463" s="2">
        <f t="shared" si="196"/>
        <v>1.356539564084734E-2</v>
      </c>
      <c r="F463" s="2">
        <f t="shared" si="196"/>
        <v>0.1392197887680772</v>
      </c>
      <c r="G463" s="2">
        <f t="shared" si="196"/>
        <v>0.14707199131462761</v>
      </c>
      <c r="H463" s="2">
        <f t="shared" si="196"/>
        <v>6.0074538399978226E-9</v>
      </c>
      <c r="I463" s="2">
        <f t="shared" si="196"/>
        <v>3.8266168310905027E-2</v>
      </c>
      <c r="J463" s="2">
        <f t="shared" si="196"/>
        <v>0.2283440196694054</v>
      </c>
      <c r="K463" s="2">
        <f t="shared" si="196"/>
        <v>0.23467839106343666</v>
      </c>
      <c r="L463" s="2">
        <f t="shared" si="196"/>
        <v>0.10087501789038043</v>
      </c>
      <c r="M463" s="2">
        <f t="shared" si="196"/>
        <v>2.90707982732657E-2</v>
      </c>
      <c r="N463" s="2">
        <f t="shared" si="196"/>
        <v>0.11930975244896713</v>
      </c>
      <c r="O463" s="2">
        <f t="shared" si="196"/>
        <v>9.7115172674541853E-2</v>
      </c>
      <c r="P463" s="2">
        <f t="shared" si="196"/>
        <v>0.20415500482693516</v>
      </c>
      <c r="Q463" s="2">
        <f t="shared" si="196"/>
        <v>0.19595839386708883</v>
      </c>
      <c r="R463" s="2">
        <f t="shared" si="196"/>
        <v>0.22116964356137458</v>
      </c>
    </row>
    <row r="464" spans="1:18">
      <c r="A464" s="3" t="s">
        <v>5</v>
      </c>
      <c r="B464" s="2">
        <f t="shared" ref="B464:R464" si="197">(B458-3978)/(52723-3978)</f>
        <v>0.3800184634321469</v>
      </c>
      <c r="C464" s="2">
        <f t="shared" si="197"/>
        <v>0.14274284542004309</v>
      </c>
      <c r="D464" s="2">
        <f t="shared" si="197"/>
        <v>0.472109959995897</v>
      </c>
      <c r="E464" s="2">
        <f t="shared" si="197"/>
        <v>0</v>
      </c>
      <c r="F464" s="2">
        <f t="shared" si="197"/>
        <v>0.23021848394707151</v>
      </c>
      <c r="G464" s="2">
        <f t="shared" si="197"/>
        <v>0.22656682736690942</v>
      </c>
      <c r="H464" s="2">
        <f t="shared" si="197"/>
        <v>8.1239101446302191E-3</v>
      </c>
      <c r="I464" s="2">
        <f t="shared" si="197"/>
        <v>8.8050056416042674E-2</v>
      </c>
      <c r="J464" s="2">
        <f t="shared" si="197"/>
        <v>0.29783567545389272</v>
      </c>
      <c r="K464" s="2">
        <f t="shared" si="197"/>
        <v>0.27239716894040417</v>
      </c>
      <c r="L464" s="2">
        <f t="shared" si="197"/>
        <v>0.15425171812493588</v>
      </c>
      <c r="M464" s="2">
        <f t="shared" si="197"/>
        <v>4.5563647553595238E-2</v>
      </c>
      <c r="N464" s="2">
        <f t="shared" si="197"/>
        <v>0.18961944814852805</v>
      </c>
      <c r="O464" s="2">
        <f t="shared" si="197"/>
        <v>0.1668683967586419</v>
      </c>
      <c r="P464" s="2">
        <f t="shared" si="197"/>
        <v>0.28033644476356551</v>
      </c>
      <c r="Q464" s="2">
        <f t="shared" si="197"/>
        <v>0.36797620268745512</v>
      </c>
      <c r="R464" s="2">
        <f t="shared" si="197"/>
        <v>0.4396348343419838</v>
      </c>
    </row>
    <row r="465" spans="1:18">
      <c r="A465" s="3" t="s">
        <v>6</v>
      </c>
      <c r="B465" s="2">
        <f>(B459-11.626)/(42.492-11.626)</f>
        <v>0.18747561886611519</v>
      </c>
      <c r="C465" s="2">
        <f t="shared" ref="C465:R465" si="198">(C459-11.626)/(42.492-11.626)</f>
        <v>-1.6065421976549179E-5</v>
      </c>
      <c r="D465" s="2">
        <f t="shared" si="198"/>
        <v>0.45578809143972882</v>
      </c>
      <c r="E465" s="2">
        <f t="shared" si="198"/>
        <v>0.9999892591686782</v>
      </c>
      <c r="F465" s="2">
        <f t="shared" si="198"/>
        <v>0.15809482522675736</v>
      </c>
      <c r="G465" s="2">
        <f t="shared" si="198"/>
        <v>2.7875279696383305E-2</v>
      </c>
      <c r="H465" s="2">
        <f t="shared" si="198"/>
        <v>0.30105047916276773</v>
      </c>
      <c r="I465" s="2">
        <f t="shared" si="198"/>
        <v>0.59774053986924069</v>
      </c>
      <c r="J465" s="2">
        <f t="shared" si="198"/>
        <v>1.0120635249629788</v>
      </c>
      <c r="K465" s="2">
        <f t="shared" si="198"/>
        <v>0.442857253237948</v>
      </c>
      <c r="L465" s="2">
        <f t="shared" si="198"/>
        <v>0.20542897323168324</v>
      </c>
      <c r="M465" s="2">
        <f t="shared" si="198"/>
        <v>0.11673634760377806</v>
      </c>
      <c r="N465" s="2">
        <f t="shared" si="198"/>
        <v>0.77482110112180969</v>
      </c>
      <c r="O465" s="2">
        <f t="shared" si="198"/>
        <v>0.38508927116377412</v>
      </c>
      <c r="P465" s="2">
        <f t="shared" si="198"/>
        <v>0.2151660836449043</v>
      </c>
      <c r="Q465" s="2">
        <f t="shared" si="198"/>
        <v>0.1109873457562979</v>
      </c>
      <c r="R465" s="2">
        <f t="shared" si="198"/>
        <v>0.6517090014542064</v>
      </c>
    </row>
    <row r="466" spans="1:18">
      <c r="A466" s="3" t="s">
        <v>3</v>
      </c>
      <c r="B466" s="2">
        <f t="shared" ref="B466:R466" si="199">(B460-18.939)/(181.766-18.939)</f>
        <v>1.5530667817089353E-2</v>
      </c>
      <c r="C466" s="2">
        <f t="shared" si="199"/>
        <v>0.59730953629092609</v>
      </c>
      <c r="D466" s="2">
        <f t="shared" si="199"/>
        <v>0.22909559547892216</v>
      </c>
      <c r="E466" s="2">
        <f t="shared" si="199"/>
        <v>0.11741642451290392</v>
      </c>
      <c r="F466" s="2">
        <f t="shared" si="199"/>
        <v>0.1050508035296864</v>
      </c>
      <c r="G466" s="2">
        <f t="shared" si="199"/>
        <v>0.38790933503289238</v>
      </c>
      <c r="H466" s="2">
        <f t="shared" si="199"/>
        <v>1.6044881664754568E-2</v>
      </c>
      <c r="I466" s="2">
        <f t="shared" si="199"/>
        <v>0.20466964129710483</v>
      </c>
      <c r="J466" s="2">
        <f t="shared" si="199"/>
        <v>1.0000016521465038</v>
      </c>
      <c r="K466" s="2">
        <f t="shared" si="199"/>
        <v>0.26504465842869473</v>
      </c>
      <c r="L466" s="2">
        <f t="shared" si="199"/>
        <v>7.6849932932037041E-2</v>
      </c>
      <c r="M466" s="2">
        <f t="shared" si="199"/>
        <v>0.43519168186901652</v>
      </c>
      <c r="N466" s="2">
        <f t="shared" si="199"/>
        <v>0.40434879369849802</v>
      </c>
      <c r="O466" s="2">
        <f t="shared" si="199"/>
        <v>0.4101368615897063</v>
      </c>
      <c r="P466" s="2">
        <f t="shared" si="199"/>
        <v>0.18688740126866449</v>
      </c>
      <c r="Q466" s="2">
        <f t="shared" si="199"/>
        <v>0.12644976849839928</v>
      </c>
      <c r="R466" s="2">
        <f t="shared" si="199"/>
        <v>0.23891857773340197</v>
      </c>
    </row>
    <row r="467" spans="1:18">
      <c r="A467" s="3" t="s">
        <v>7</v>
      </c>
      <c r="B467" s="2">
        <f t="shared" ref="B467:R467" si="200">(B461-60.179)/(80.2-60.179)</f>
        <v>0.63270029883256784</v>
      </c>
      <c r="C467" s="2">
        <f t="shared" si="200"/>
        <v>0.53535373223968452</v>
      </c>
      <c r="D467" s="2">
        <f t="shared" si="200"/>
        <v>0.75723660887775235</v>
      </c>
      <c r="E467" s="2">
        <f t="shared" si="200"/>
        <v>0.52045474203306075</v>
      </c>
      <c r="F467" s="2">
        <f t="shared" si="200"/>
        <v>0.47842813825970615</v>
      </c>
      <c r="G467" s="2">
        <f t="shared" si="200"/>
        <v>0.84124961473379822</v>
      </c>
      <c r="H467" s="2">
        <f t="shared" si="200"/>
        <v>-1.9491728806260574E-5</v>
      </c>
      <c r="I467" s="2">
        <f t="shared" si="200"/>
        <v>0.20722266010932486</v>
      </c>
      <c r="J467" s="2">
        <f t="shared" si="200"/>
        <v>0.55888877654073044</v>
      </c>
      <c r="K467" s="2">
        <f t="shared" si="200"/>
        <v>0.64508729248922791</v>
      </c>
      <c r="L467" s="2">
        <f t="shared" si="200"/>
        <v>0.41521889820566438</v>
      </c>
      <c r="M467" s="2">
        <f t="shared" si="200"/>
        <v>0.29976695201745462</v>
      </c>
      <c r="N467" s="2">
        <f t="shared" si="200"/>
        <v>0.6031130727370414</v>
      </c>
      <c r="O467" s="2">
        <f t="shared" si="200"/>
        <v>0.56813638362646079</v>
      </c>
      <c r="P467" s="2">
        <f t="shared" si="200"/>
        <v>0.32800437589311715</v>
      </c>
      <c r="Q467" s="2">
        <f t="shared" si="200"/>
        <v>0.66675234905788017</v>
      </c>
      <c r="R467" s="2">
        <f t="shared" si="200"/>
        <v>0.60938575471364864</v>
      </c>
    </row>
    <row r="468" spans="1:18">
      <c r="A468" s="4" t="s">
        <v>8</v>
      </c>
      <c r="B468" s="2">
        <f t="shared" ref="B468:R468" si="201">(B462-45.244)/(143.686-45.244)</f>
        <v>0.33546057577050442</v>
      </c>
      <c r="C468" s="2">
        <f t="shared" si="201"/>
        <v>0.48569980292964382</v>
      </c>
      <c r="D468" s="2">
        <f t="shared" si="201"/>
        <v>0.3515427380815323</v>
      </c>
      <c r="E468" s="2">
        <f t="shared" si="201"/>
        <v>0.10928617866357855</v>
      </c>
      <c r="F468" s="2">
        <f t="shared" si="201"/>
        <v>0.2298984173421913</v>
      </c>
      <c r="G468" s="2">
        <f t="shared" si="201"/>
        <v>4.2711241136913103E-2</v>
      </c>
      <c r="H468" s="2">
        <f t="shared" si="201"/>
        <v>-4.3680542857874152E-6</v>
      </c>
      <c r="I468" s="2">
        <f t="shared" si="201"/>
        <v>4.5262591170435365E-2</v>
      </c>
      <c r="J468" s="2">
        <f t="shared" si="201"/>
        <v>0.11502377034192719</v>
      </c>
      <c r="K468" s="2">
        <f t="shared" si="201"/>
        <v>0.16366591495499891</v>
      </c>
      <c r="L468" s="2">
        <f t="shared" si="201"/>
        <v>0.27916427947420808</v>
      </c>
      <c r="M468" s="2">
        <f t="shared" si="201"/>
        <v>0.30966518355986261</v>
      </c>
      <c r="N468" s="2">
        <f t="shared" si="201"/>
        <v>8.9401068649560156E-2</v>
      </c>
      <c r="O468" s="2">
        <f t="shared" si="201"/>
        <v>0.16732736027305417</v>
      </c>
      <c r="P468" s="2">
        <f t="shared" si="201"/>
        <v>0.15777882684958958</v>
      </c>
      <c r="Q468" s="2">
        <f t="shared" si="201"/>
        <v>0.41285955181731371</v>
      </c>
      <c r="R468" s="2">
        <f t="shared" si="201"/>
        <v>0.10832769267408422</v>
      </c>
    </row>
    <row r="469" spans="1:18">
      <c r="A469" s="3" t="s">
        <v>63</v>
      </c>
      <c r="B469" s="2">
        <f t="shared" ref="B469:R469" si="202">(B463+B464+B465+B466+B467+B468)/6</f>
        <v>0.29581158351885373</v>
      </c>
      <c r="C469" s="2">
        <f t="shared" si="202"/>
        <v>0.31434171576218189</v>
      </c>
      <c r="D469" s="2">
        <f t="shared" si="202"/>
        <v>0.41554162752523388</v>
      </c>
      <c r="E469" s="2">
        <f t="shared" si="202"/>
        <v>0.29345200000317812</v>
      </c>
      <c r="F469" s="2">
        <f t="shared" si="202"/>
        <v>0.22348507617891497</v>
      </c>
      <c r="G469" s="2">
        <f t="shared" si="202"/>
        <v>0.27889738154692068</v>
      </c>
      <c r="H469" s="2">
        <f t="shared" si="202"/>
        <v>5.4199236199419056E-2</v>
      </c>
      <c r="I469" s="2">
        <f t="shared" si="202"/>
        <v>0.19686860952884225</v>
      </c>
      <c r="J469" s="2">
        <f t="shared" si="202"/>
        <v>0.53535956985257305</v>
      </c>
      <c r="K469" s="2">
        <f t="shared" si="202"/>
        <v>0.33728844651911838</v>
      </c>
      <c r="L469" s="2">
        <f t="shared" si="202"/>
        <v>0.20529813664315152</v>
      </c>
      <c r="M469" s="2">
        <f t="shared" si="202"/>
        <v>0.20599910181282879</v>
      </c>
      <c r="N469" s="2">
        <f t="shared" si="202"/>
        <v>0.36343553946740076</v>
      </c>
      <c r="O469" s="2">
        <f t="shared" si="202"/>
        <v>0.29911224101436318</v>
      </c>
      <c r="P469" s="2">
        <f t="shared" si="202"/>
        <v>0.22872135620779602</v>
      </c>
      <c r="Q469" s="2">
        <f t="shared" si="202"/>
        <v>0.31349726861407251</v>
      </c>
      <c r="R469" s="2">
        <f t="shared" si="202"/>
        <v>0.37819091741311661</v>
      </c>
    </row>
    <row r="472" spans="1:18">
      <c r="A472" s="1" t="s">
        <v>9</v>
      </c>
      <c r="B472" s="2" t="s">
        <v>28</v>
      </c>
      <c r="C472" s="2" t="s">
        <v>29</v>
      </c>
      <c r="D472" s="2" t="s">
        <v>30</v>
      </c>
      <c r="E472" s="2" t="s">
        <v>31</v>
      </c>
      <c r="F472" s="2" t="s">
        <v>32</v>
      </c>
      <c r="G472" s="2" t="s">
        <v>33</v>
      </c>
      <c r="H472" s="2" t="s">
        <v>34</v>
      </c>
      <c r="I472" s="2" t="s">
        <v>35</v>
      </c>
      <c r="J472" s="2" t="s">
        <v>36</v>
      </c>
      <c r="K472" s="2" t="s">
        <v>37</v>
      </c>
      <c r="L472" s="2" t="s">
        <v>38</v>
      </c>
      <c r="M472" s="2" t="s">
        <v>39</v>
      </c>
      <c r="N472" s="2" t="s">
        <v>40</v>
      </c>
      <c r="O472" s="2" t="s">
        <v>41</v>
      </c>
      <c r="P472" s="2" t="s">
        <v>42</v>
      </c>
      <c r="Q472" s="2" t="s">
        <v>43</v>
      </c>
      <c r="R472" s="2" t="s">
        <v>44</v>
      </c>
    </row>
    <row r="473" spans="1:18">
      <c r="B473" s="2">
        <v>1996</v>
      </c>
      <c r="C473" s="2">
        <v>1996</v>
      </c>
      <c r="D473" s="2">
        <v>1996</v>
      </c>
      <c r="E473" s="2">
        <v>1996</v>
      </c>
      <c r="F473" s="2">
        <v>1996</v>
      </c>
      <c r="G473" s="2">
        <v>1996</v>
      </c>
      <c r="H473" s="2">
        <v>1996</v>
      </c>
      <c r="I473" s="2">
        <v>1996</v>
      </c>
      <c r="J473" s="2">
        <v>1996</v>
      </c>
      <c r="K473" s="2">
        <v>1996</v>
      </c>
      <c r="L473" s="2">
        <v>1996</v>
      </c>
      <c r="M473" s="2">
        <v>1996</v>
      </c>
      <c r="N473" s="2">
        <v>1996</v>
      </c>
      <c r="O473" s="2">
        <v>1996</v>
      </c>
      <c r="P473" s="2">
        <v>1996</v>
      </c>
      <c r="Q473" s="2">
        <v>1996</v>
      </c>
      <c r="R473" s="2">
        <v>1996</v>
      </c>
    </row>
    <row r="474" spans="1:18">
      <c r="A474" s="1" t="s">
        <v>0</v>
      </c>
      <c r="B474" s="3">
        <v>26074.663907672679</v>
      </c>
      <c r="C474" s="3">
        <v>27033.551721414944</v>
      </c>
      <c r="D474" s="3">
        <v>27925.279453221992</v>
      </c>
      <c r="E474" s="3">
        <v>28686.841644919121</v>
      </c>
      <c r="F474" s="3">
        <v>22614.962759653095</v>
      </c>
      <c r="G474" s="3">
        <v>25419.850390800337</v>
      </c>
      <c r="H474" s="3">
        <v>25542.142367420136</v>
      </c>
      <c r="I474" s="3">
        <v>29275.199893013007</v>
      </c>
      <c r="J474" s="3">
        <v>28683.536266241579</v>
      </c>
      <c r="K474" s="3">
        <v>29298.310742997815</v>
      </c>
      <c r="L474" s="3">
        <v>20918.485701751768</v>
      </c>
      <c r="M474" s="3">
        <v>39538.985439674128</v>
      </c>
      <c r="N474" s="3">
        <v>21480.209467221128</v>
      </c>
      <c r="O474" s="3">
        <v>24997.983975217598</v>
      </c>
      <c r="P474" s="3">
        <v>33057.589187644335</v>
      </c>
      <c r="Q474" s="3">
        <v>25677.968679266938</v>
      </c>
      <c r="R474" s="3">
        <v>36023.586570549822</v>
      </c>
    </row>
    <row r="475" spans="1:18">
      <c r="A475" s="1" t="s">
        <v>1</v>
      </c>
      <c r="B475" s="2">
        <v>41670</v>
      </c>
      <c r="C475" s="2">
        <v>48463</v>
      </c>
      <c r="D475" s="2">
        <v>43045</v>
      </c>
      <c r="E475" s="2">
        <v>41353</v>
      </c>
      <c r="F475" s="2">
        <v>40575</v>
      </c>
      <c r="G475" s="2">
        <v>46673</v>
      </c>
      <c r="H475" s="2">
        <v>45381</v>
      </c>
      <c r="I475" s="2">
        <v>42045</v>
      </c>
      <c r="J475" s="2">
        <v>38194</v>
      </c>
      <c r="K475" s="2">
        <v>40866</v>
      </c>
      <c r="L475" s="2">
        <v>31978</v>
      </c>
      <c r="M475" s="2">
        <v>45704</v>
      </c>
      <c r="N475" s="2">
        <v>38744</v>
      </c>
      <c r="O475" s="2">
        <v>38865</v>
      </c>
      <c r="P475" s="2">
        <v>37542</v>
      </c>
      <c r="Q475" s="2">
        <v>40396</v>
      </c>
      <c r="R475" s="2">
        <v>52723</v>
      </c>
    </row>
    <row r="476" spans="1:18">
      <c r="A476" s="1" t="s">
        <v>2</v>
      </c>
      <c r="B476" s="2">
        <v>23.372755634681702</v>
      </c>
      <c r="C476" s="2">
        <v>23.684533764184547</v>
      </c>
      <c r="D476" s="2">
        <v>22.214123202814317</v>
      </c>
      <c r="E476" s="2">
        <v>23.945009200664245</v>
      </c>
      <c r="F476" s="2">
        <v>24.777314866187165</v>
      </c>
      <c r="G476" s="2">
        <v>18.649637378126336</v>
      </c>
      <c r="H476" s="2">
        <v>24.023200552917746</v>
      </c>
      <c r="I476" s="2">
        <v>31.487618387068245</v>
      </c>
      <c r="J476" s="2">
        <v>29.076085470259105</v>
      </c>
      <c r="K476" s="2">
        <v>26.979093368360154</v>
      </c>
      <c r="L476" s="2">
        <v>23.106717846660203</v>
      </c>
      <c r="M476" s="2">
        <v>29.982410267679523</v>
      </c>
      <c r="N476" s="2">
        <v>22.23908157558747</v>
      </c>
      <c r="O476" s="2">
        <v>23.178408934605958</v>
      </c>
      <c r="P476" s="2">
        <v>26.980991611106326</v>
      </c>
      <c r="Q476" s="2">
        <v>16.955685240096912</v>
      </c>
      <c r="R476" s="2">
        <v>17.340764536646411</v>
      </c>
    </row>
    <row r="477" spans="1:18">
      <c r="A477" s="1" t="s">
        <v>3</v>
      </c>
      <c r="B477" s="2">
        <v>72.530600426342332</v>
      </c>
      <c r="C477" s="2">
        <v>128.10501053506809</v>
      </c>
      <c r="D477" s="2">
        <v>72.747901690119292</v>
      </c>
      <c r="E477" s="2">
        <v>70.750957467498466</v>
      </c>
      <c r="F477" s="2">
        <v>67.453168030182283</v>
      </c>
      <c r="G477" s="2">
        <v>45.1548469058949</v>
      </c>
      <c r="H477" s="2">
        <v>44.641678924573988</v>
      </c>
      <c r="I477" s="2">
        <v>142.99363403159751</v>
      </c>
      <c r="J477" s="2">
        <v>18.939443069703408</v>
      </c>
      <c r="K477" s="2">
        <v>113.98195493424655</v>
      </c>
      <c r="L477" s="2">
        <v>54.871487824129282</v>
      </c>
      <c r="M477" s="2">
        <v>72.613357935079662</v>
      </c>
      <c r="N477" s="2">
        <v>46.714290236464741</v>
      </c>
      <c r="O477" s="2">
        <v>70.507817240812017</v>
      </c>
      <c r="P477" s="2">
        <v>67.595923290388683</v>
      </c>
      <c r="Q477" s="2">
        <v>58.524853976968913</v>
      </c>
      <c r="R477" s="2">
        <v>23.631484563481312</v>
      </c>
    </row>
    <row r="478" spans="1:18">
      <c r="A478" s="6" t="s">
        <v>27</v>
      </c>
      <c r="B478" s="2">
        <v>76.983658536585381</v>
      </c>
      <c r="C478" s="2">
        <v>76.921951219512195</v>
      </c>
      <c r="D478" s="2">
        <v>78.230487804878052</v>
      </c>
      <c r="E478" s="2">
        <v>75.591463414634163</v>
      </c>
      <c r="F478" s="2">
        <v>76.69341463414635</v>
      </c>
      <c r="G478" s="2">
        <v>77.95365853658538</v>
      </c>
      <c r="H478" s="2">
        <v>78.331951219512206</v>
      </c>
      <c r="I478" s="2">
        <v>75.785365853658547</v>
      </c>
      <c r="J478" s="2">
        <v>80.200243902439041</v>
      </c>
      <c r="K478" s="2">
        <v>77.435609756097563</v>
      </c>
      <c r="L478" s="2">
        <v>76.787804878048803</v>
      </c>
      <c r="M478" s="2">
        <v>78.150487804878068</v>
      </c>
      <c r="N478" s="2">
        <v>78.120487804878053</v>
      </c>
      <c r="O478" s="2">
        <v>78.959024390243897</v>
      </c>
      <c r="P478" s="2">
        <v>78.896097560975619</v>
      </c>
      <c r="Q478" s="2">
        <v>77.087804878048786</v>
      </c>
      <c r="R478" s="2">
        <v>75.996585365853662</v>
      </c>
    </row>
    <row r="479" spans="1:18">
      <c r="A479" s="6" t="s">
        <v>8</v>
      </c>
      <c r="B479" s="2">
        <v>104.81849</v>
      </c>
      <c r="C479" s="2">
        <v>143.68627000000001</v>
      </c>
      <c r="D479" s="2">
        <v>104.99276999999999</v>
      </c>
      <c r="E479" s="2">
        <v>120.26909000000001</v>
      </c>
      <c r="F479" s="2">
        <v>115.90886999999999</v>
      </c>
      <c r="G479" s="2">
        <v>111.81328000000001</v>
      </c>
      <c r="H479" s="2">
        <v>89.367869999999996</v>
      </c>
      <c r="I479" s="2">
        <v>114.16717</v>
      </c>
      <c r="J479" s="2">
        <v>101.10988999999999</v>
      </c>
      <c r="K479" s="2">
        <v>137.76338000000001</v>
      </c>
      <c r="L479" s="2">
        <v>115.52969</v>
      </c>
      <c r="M479" s="2">
        <v>115.68207</v>
      </c>
      <c r="N479" s="2">
        <v>119.06833</v>
      </c>
      <c r="O479" s="2">
        <v>135.23607999999999</v>
      </c>
      <c r="P479" s="2">
        <v>100.89230000000001</v>
      </c>
      <c r="Q479" s="2">
        <v>101.33091</v>
      </c>
      <c r="R479" s="2">
        <v>94.684820000000002</v>
      </c>
    </row>
    <row r="480" spans="1:18">
      <c r="A480" s="3" t="s">
        <v>4</v>
      </c>
      <c r="B480" s="2">
        <f t="shared" ref="B480:R480" si="203">(B474-1496.802)/(39538.99-1496.802)</f>
        <v>0.64606856755117981</v>
      </c>
      <c r="C480" s="2">
        <f t="shared" si="203"/>
        <v>0.67127447352436587</v>
      </c>
      <c r="D480" s="2">
        <f t="shared" si="203"/>
        <v>0.69471496889774054</v>
      </c>
      <c r="E480" s="2">
        <f t="shared" si="203"/>
        <v>0.71473385402856227</v>
      </c>
      <c r="F480" s="2">
        <f t="shared" si="203"/>
        <v>0.55512476726241666</v>
      </c>
      <c r="G480" s="2">
        <f t="shared" si="203"/>
        <v>0.62885574275591982</v>
      </c>
      <c r="H480" s="2">
        <f t="shared" si="203"/>
        <v>0.63207038373870972</v>
      </c>
      <c r="I480" s="2">
        <f t="shared" si="203"/>
        <v>0.73019979536963042</v>
      </c>
      <c r="J480" s="2">
        <f t="shared" si="203"/>
        <v>0.71464696684222218</v>
      </c>
      <c r="K480" s="2">
        <f t="shared" si="203"/>
        <v>0.73080730117305082</v>
      </c>
      <c r="L480" s="2">
        <f t="shared" si="203"/>
        <v>0.51053014358037896</v>
      </c>
      <c r="M480" s="2">
        <f t="shared" si="203"/>
        <v>0.99999988012451146</v>
      </c>
      <c r="N480" s="2">
        <f t="shared" si="203"/>
        <v>0.52529595477581703</v>
      </c>
      <c r="O480" s="2">
        <f t="shared" si="203"/>
        <v>0.61776630658619325</v>
      </c>
      <c r="P480" s="2">
        <f t="shared" si="203"/>
        <v>0.82962597176703767</v>
      </c>
      <c r="Q480" s="2">
        <f t="shared" si="203"/>
        <v>0.63564079645647464</v>
      </c>
      <c r="R480" s="2">
        <f t="shared" si="203"/>
        <v>0.90759197579670825</v>
      </c>
    </row>
    <row r="481" spans="1:18">
      <c r="A481" s="3" t="s">
        <v>5</v>
      </c>
      <c r="B481" s="2">
        <f>(B475-3978)/(52723-3978)</f>
        <v>0.77324853831162166</v>
      </c>
      <c r="C481" s="2">
        <f t="shared" ref="C481:R481" si="204">(C475-3978)/(52723-3978)</f>
        <v>0.91260642117140223</v>
      </c>
      <c r="D481" s="2">
        <f t="shared" si="204"/>
        <v>0.80145655964714335</v>
      </c>
      <c r="E481" s="2">
        <f t="shared" si="204"/>
        <v>0.76674530721099599</v>
      </c>
      <c r="F481" s="2">
        <f t="shared" si="204"/>
        <v>0.75078469586624275</v>
      </c>
      <c r="G481" s="2">
        <f t="shared" si="204"/>
        <v>0.87588470612370495</v>
      </c>
      <c r="H481" s="2">
        <f t="shared" si="204"/>
        <v>0.84937942353061857</v>
      </c>
      <c r="I481" s="2">
        <f t="shared" si="204"/>
        <v>0.78094163503949121</v>
      </c>
      <c r="J481" s="2">
        <f t="shared" si="204"/>
        <v>0.70193866037542307</v>
      </c>
      <c r="K481" s="2">
        <f t="shared" si="204"/>
        <v>0.75675453892706945</v>
      </c>
      <c r="L481" s="2">
        <f t="shared" si="204"/>
        <v>0.57441788901425783</v>
      </c>
      <c r="M481" s="2">
        <f t="shared" si="204"/>
        <v>0.85600574417889019</v>
      </c>
      <c r="N481" s="2">
        <f t="shared" si="204"/>
        <v>0.7132218689096318</v>
      </c>
      <c r="O481" s="2">
        <f t="shared" si="204"/>
        <v>0.71570417478715764</v>
      </c>
      <c r="P481" s="2">
        <f t="shared" si="204"/>
        <v>0.68856292953123399</v>
      </c>
      <c r="Q481" s="2">
        <f t="shared" si="204"/>
        <v>0.74711252436147302</v>
      </c>
      <c r="R481" s="2">
        <f t="shared" si="204"/>
        <v>1</v>
      </c>
    </row>
    <row r="482" spans="1:18">
      <c r="A482" s="3" t="s">
        <v>6</v>
      </c>
      <c r="B482" s="2">
        <f t="shared" ref="B482:R482" si="205">(B476-11.626)/(42.492-11.626)</f>
        <v>0.38057265712051136</v>
      </c>
      <c r="C482" s="2">
        <f t="shared" si="205"/>
        <v>0.39067367861674812</v>
      </c>
      <c r="D482" s="2">
        <f t="shared" si="205"/>
        <v>0.34303515851792643</v>
      </c>
      <c r="E482" s="2">
        <f t="shared" si="205"/>
        <v>0.39911258992626986</v>
      </c>
      <c r="F482" s="2">
        <f t="shared" si="205"/>
        <v>0.42607771872569061</v>
      </c>
      <c r="G482" s="2">
        <f t="shared" si="205"/>
        <v>0.22755256198167356</v>
      </c>
      <c r="H482" s="2">
        <f t="shared" si="205"/>
        <v>0.40164584179737406</v>
      </c>
      <c r="I482" s="2">
        <f t="shared" si="205"/>
        <v>0.64347885657578718</v>
      </c>
      <c r="J482" s="2">
        <f t="shared" si="205"/>
        <v>0.56534975281083077</v>
      </c>
      <c r="K482" s="2">
        <f t="shared" si="205"/>
        <v>0.4974111763221718</v>
      </c>
      <c r="L482" s="2">
        <f t="shared" si="205"/>
        <v>0.37195353614527971</v>
      </c>
      <c r="M482" s="2">
        <f t="shared" si="205"/>
        <v>0.5947129614358686</v>
      </c>
      <c r="N482" s="2">
        <f t="shared" si="205"/>
        <v>0.34384376257329974</v>
      </c>
      <c r="O482" s="2">
        <f t="shared" si="205"/>
        <v>0.37427619175163479</v>
      </c>
      <c r="P482" s="2">
        <f t="shared" si="205"/>
        <v>0.49747267579557852</v>
      </c>
      <c r="Q482" s="2">
        <f t="shared" si="205"/>
        <v>0.17267171775082332</v>
      </c>
      <c r="R482" s="2">
        <f t="shared" si="205"/>
        <v>0.18514755836993493</v>
      </c>
    </row>
    <row r="483" spans="1:18">
      <c r="A483" s="3" t="s">
        <v>3</v>
      </c>
      <c r="B483" s="2">
        <f>(B477-18.939)/(181.766-18.939)</f>
        <v>0.32913214900687437</v>
      </c>
      <c r="C483" s="2">
        <f t="shared" ref="C483:R483" si="206">(C477-18.939)/(181.766-18.939)</f>
        <v>0.6704416990736678</v>
      </c>
      <c r="D483" s="2">
        <f t="shared" si="206"/>
        <v>0.33046670202189621</v>
      </c>
      <c r="E483" s="2">
        <f t="shared" si="206"/>
        <v>0.31820249385850297</v>
      </c>
      <c r="F483" s="2">
        <f t="shared" si="206"/>
        <v>0.29794916095108481</v>
      </c>
      <c r="G483" s="2">
        <f t="shared" si="206"/>
        <v>0.16100429846336847</v>
      </c>
      <c r="H483" s="2">
        <f t="shared" si="206"/>
        <v>0.15785268367392377</v>
      </c>
      <c r="I483" s="2">
        <f t="shared" si="206"/>
        <v>0.76187999552652519</v>
      </c>
      <c r="J483" s="2">
        <f t="shared" si="206"/>
        <v>2.7211070854841499E-6</v>
      </c>
      <c r="K483" s="2">
        <f t="shared" si="206"/>
        <v>0.58370512835246335</v>
      </c>
      <c r="L483" s="2">
        <f t="shared" si="206"/>
        <v>0.22067892809011577</v>
      </c>
      <c r="M483" s="2">
        <f t="shared" si="206"/>
        <v>0.32964040321985705</v>
      </c>
      <c r="N483" s="2">
        <f t="shared" si="206"/>
        <v>0.17058160032712474</v>
      </c>
      <c r="O483" s="2">
        <f t="shared" si="206"/>
        <v>0.31670925117340498</v>
      </c>
      <c r="P483" s="2">
        <f t="shared" si="206"/>
        <v>0.29882589061021014</v>
      </c>
      <c r="Q483" s="2">
        <f t="shared" si="206"/>
        <v>0.24311603098361398</v>
      </c>
      <c r="R483" s="2">
        <f t="shared" si="206"/>
        <v>2.8818835718162909E-2</v>
      </c>
    </row>
    <row r="484" spans="1:18">
      <c r="A484" s="3" t="s">
        <v>7</v>
      </c>
      <c r="B484" s="2">
        <f>(B478-60.179)/(80.2-60.179)</f>
        <v>0.83935160764124561</v>
      </c>
      <c r="C484" s="2">
        <f t="shared" ref="C484:R484" si="207">(C478-60.179)/(80.2-60.179)</f>
        <v>0.83626947802368479</v>
      </c>
      <c r="D484" s="2">
        <f t="shared" si="207"/>
        <v>0.90162768117866487</v>
      </c>
      <c r="E484" s="2">
        <f t="shared" si="207"/>
        <v>0.76981486512332853</v>
      </c>
      <c r="F484" s="2">
        <f t="shared" si="207"/>
        <v>0.82485463434125905</v>
      </c>
      <c r="G484" s="2">
        <f t="shared" si="207"/>
        <v>0.88780073605640963</v>
      </c>
      <c r="H484" s="2">
        <f t="shared" si="207"/>
        <v>0.90669553066840836</v>
      </c>
      <c r="I484" s="2">
        <f t="shared" si="207"/>
        <v>0.77949981787415934</v>
      </c>
      <c r="J484" s="2">
        <f t="shared" si="207"/>
        <v>1.0000121823305048</v>
      </c>
      <c r="K484" s="2">
        <f t="shared" si="207"/>
        <v>0.86192546606550924</v>
      </c>
      <c r="L484" s="2">
        <f t="shared" si="207"/>
        <v>0.82956919624638126</v>
      </c>
      <c r="M484" s="2">
        <f t="shared" si="207"/>
        <v>0.89763187677329137</v>
      </c>
      <c r="N484" s="2">
        <f t="shared" si="207"/>
        <v>0.89613345012127521</v>
      </c>
      <c r="O484" s="2">
        <f t="shared" si="207"/>
        <v>0.93801630239468026</v>
      </c>
      <c r="P484" s="2">
        <f t="shared" si="207"/>
        <v>0.93487326112460001</v>
      </c>
      <c r="Q484" s="2">
        <f t="shared" si="207"/>
        <v>0.84455346276653431</v>
      </c>
      <c r="R484" s="2">
        <f t="shared" si="207"/>
        <v>0.79004971609078767</v>
      </c>
    </row>
    <row r="485" spans="1:18">
      <c r="A485" s="4" t="s">
        <v>8</v>
      </c>
      <c r="B485" s="2">
        <f>(B479-45.244)/(143.686-45.244)</f>
        <v>0.60517350317953711</v>
      </c>
      <c r="C485" s="2">
        <f t="shared" ref="C485:R485" si="208">(C479-45.244)/(143.686-45.244)</f>
        <v>1.0000027427317608</v>
      </c>
      <c r="D485" s="2">
        <f t="shared" si="208"/>
        <v>0.60694388573982638</v>
      </c>
      <c r="E485" s="2">
        <f t="shared" si="208"/>
        <v>0.76212480445338371</v>
      </c>
      <c r="F485" s="2">
        <f t="shared" si="208"/>
        <v>0.71783253083033649</v>
      </c>
      <c r="G485" s="2">
        <f t="shared" si="208"/>
        <v>0.67622843908088015</v>
      </c>
      <c r="H485" s="2">
        <f t="shared" si="208"/>
        <v>0.44822199874037499</v>
      </c>
      <c r="I485" s="2">
        <f t="shared" si="208"/>
        <v>0.70013987931980248</v>
      </c>
      <c r="J485" s="2">
        <f t="shared" si="208"/>
        <v>0.5675005587046178</v>
      </c>
      <c r="K485" s="2">
        <f t="shared" si="208"/>
        <v>0.93983645192092813</v>
      </c>
      <c r="L485" s="2">
        <f t="shared" si="208"/>
        <v>0.71398071961154785</v>
      </c>
      <c r="M485" s="2">
        <f t="shared" si="208"/>
        <v>0.71552863615123619</v>
      </c>
      <c r="N485" s="2">
        <f t="shared" si="208"/>
        <v>0.74992716523435121</v>
      </c>
      <c r="O485" s="2">
        <f t="shared" si="208"/>
        <v>0.91416346681294547</v>
      </c>
      <c r="P485" s="2">
        <f t="shared" si="208"/>
        <v>0.5652902216533594</v>
      </c>
      <c r="Q485" s="2">
        <f t="shared" si="208"/>
        <v>0.56974573860750488</v>
      </c>
      <c r="R485" s="2">
        <f t="shared" si="208"/>
        <v>0.50223298998394994</v>
      </c>
    </row>
    <row r="486" spans="1:18">
      <c r="A486" s="4" t="s">
        <v>63</v>
      </c>
      <c r="B486" s="2">
        <f>(B480+B481+B482+B483+B484+B485)/6</f>
        <v>0.59559117046849497</v>
      </c>
      <c r="C486" s="2">
        <f t="shared" ref="C486:R486" si="209">(C480+C481+C482+C483+C484+C485)/6</f>
        <v>0.74687808219027163</v>
      </c>
      <c r="D486" s="2">
        <f t="shared" si="209"/>
        <v>0.613040826000533</v>
      </c>
      <c r="E486" s="2">
        <f t="shared" si="209"/>
        <v>0.62178898576684061</v>
      </c>
      <c r="F486" s="2">
        <f t="shared" si="209"/>
        <v>0.59543725132950509</v>
      </c>
      <c r="G486" s="2">
        <f t="shared" si="209"/>
        <v>0.57622108074365941</v>
      </c>
      <c r="H486" s="2">
        <f t="shared" si="209"/>
        <v>0.56597764369156822</v>
      </c>
      <c r="I486" s="2">
        <f t="shared" si="209"/>
        <v>0.73268999661756595</v>
      </c>
      <c r="J486" s="2">
        <f t="shared" si="209"/>
        <v>0.59157514036178072</v>
      </c>
      <c r="K486" s="2">
        <f t="shared" si="209"/>
        <v>0.72840667712686546</v>
      </c>
      <c r="L486" s="2">
        <f t="shared" si="209"/>
        <v>0.53685506878132694</v>
      </c>
      <c r="M486" s="2">
        <f t="shared" si="209"/>
        <v>0.73225325031394251</v>
      </c>
      <c r="N486" s="2">
        <f t="shared" si="209"/>
        <v>0.56650063365691661</v>
      </c>
      <c r="O486" s="2">
        <f t="shared" si="209"/>
        <v>0.64610594891766937</v>
      </c>
      <c r="P486" s="2">
        <f t="shared" si="209"/>
        <v>0.63577515841366983</v>
      </c>
      <c r="Q486" s="2">
        <f t="shared" si="209"/>
        <v>0.53547337848773735</v>
      </c>
      <c r="R486" s="2">
        <f t="shared" si="209"/>
        <v>0.56897351265992402</v>
      </c>
    </row>
    <row r="488" spans="1:18">
      <c r="A488" s="1" t="s">
        <v>9</v>
      </c>
      <c r="B488" s="2" t="s">
        <v>10</v>
      </c>
      <c r="C488" s="2" t="s">
        <v>11</v>
      </c>
      <c r="D488" s="2" t="s">
        <v>12</v>
      </c>
      <c r="E488" s="2" t="s">
        <v>13</v>
      </c>
      <c r="F488" s="2" t="s">
        <v>14</v>
      </c>
      <c r="G488" s="2" t="s">
        <v>15</v>
      </c>
      <c r="H488" s="2" t="s">
        <v>16</v>
      </c>
      <c r="I488" s="2" t="s">
        <v>17</v>
      </c>
      <c r="J488" s="2" t="s">
        <v>18</v>
      </c>
      <c r="K488" s="2" t="s">
        <v>19</v>
      </c>
      <c r="L488" s="2" t="s">
        <v>20</v>
      </c>
      <c r="M488" s="2" t="s">
        <v>21</v>
      </c>
      <c r="N488" s="2" t="s">
        <v>22</v>
      </c>
      <c r="O488" s="2" t="s">
        <v>23</v>
      </c>
      <c r="P488" s="2" t="s">
        <v>24</v>
      </c>
      <c r="Q488" s="2" t="s">
        <v>25</v>
      </c>
      <c r="R488" s="2" t="s">
        <v>26</v>
      </c>
    </row>
    <row r="489" spans="1:18">
      <c r="B489" s="2">
        <v>1995</v>
      </c>
      <c r="C489" s="2">
        <v>1995</v>
      </c>
      <c r="D489" s="2">
        <v>1995</v>
      </c>
      <c r="E489" s="2">
        <v>1995</v>
      </c>
      <c r="F489" s="2">
        <v>1995</v>
      </c>
      <c r="G489" s="2">
        <v>1995</v>
      </c>
      <c r="H489" s="2">
        <v>1995</v>
      </c>
      <c r="I489" s="2">
        <v>1995</v>
      </c>
      <c r="J489" s="2">
        <v>1995</v>
      </c>
      <c r="K489" s="2">
        <v>1995</v>
      </c>
      <c r="L489" s="2">
        <v>1995</v>
      </c>
      <c r="M489" s="2">
        <v>1995</v>
      </c>
      <c r="N489" s="2">
        <v>1995</v>
      </c>
      <c r="O489" s="2">
        <v>1995</v>
      </c>
      <c r="P489" s="2">
        <v>1995</v>
      </c>
      <c r="Q489" s="2">
        <v>1995</v>
      </c>
      <c r="R489" s="2">
        <v>1995</v>
      </c>
    </row>
    <row r="490" spans="1:18">
      <c r="A490" s="1" t="s">
        <v>0</v>
      </c>
      <c r="B490" s="3">
        <v>9599.4744314055333</v>
      </c>
      <c r="C490" s="3">
        <v>6835.6835531391198</v>
      </c>
      <c r="D490" s="3">
        <v>9595.3712395195325</v>
      </c>
      <c r="E490" s="3">
        <v>1849.1526357037051</v>
      </c>
      <c r="F490" s="3">
        <v>6776.7067823865182</v>
      </c>
      <c r="G490" s="3">
        <v>7208.0929349059679</v>
      </c>
      <c r="H490" s="3">
        <v>1416.9862509329207</v>
      </c>
      <c r="I490" s="3">
        <v>2785.0810711001986</v>
      </c>
      <c r="J490" s="3">
        <v>9496.2359417527332</v>
      </c>
      <c r="K490" s="3">
        <v>10032.755070369802</v>
      </c>
      <c r="L490" s="3">
        <v>5296.028250152297</v>
      </c>
      <c r="M490" s="3">
        <v>2514.7223529332673</v>
      </c>
      <c r="N490" s="3">
        <v>5755.13846564088</v>
      </c>
      <c r="O490" s="3">
        <v>4916.3344878516682</v>
      </c>
      <c r="P490" s="3">
        <v>8762.3272949034708</v>
      </c>
      <c r="Q490" s="3">
        <v>8539.5676575771668</v>
      </c>
      <c r="R490" s="3">
        <v>10139.100731786843</v>
      </c>
    </row>
    <row r="491" spans="1:18">
      <c r="A491" s="1" t="s">
        <v>1</v>
      </c>
      <c r="B491" s="2">
        <v>21507</v>
      </c>
      <c r="C491" s="2">
        <v>12401</v>
      </c>
      <c r="D491" s="2">
        <v>25690</v>
      </c>
      <c r="E491" s="2">
        <v>3941</v>
      </c>
      <c r="F491" s="2">
        <v>15461</v>
      </c>
      <c r="G491" s="2">
        <v>15351</v>
      </c>
      <c r="H491" s="2">
        <v>4111</v>
      </c>
      <c r="I491" s="2">
        <v>8205</v>
      </c>
      <c r="J491" s="2">
        <v>18473</v>
      </c>
      <c r="K491" s="2">
        <v>17071</v>
      </c>
      <c r="L491" s="2">
        <v>11428</v>
      </c>
      <c r="M491" s="2">
        <v>6201</v>
      </c>
      <c r="N491" s="2">
        <v>12549</v>
      </c>
      <c r="O491" s="2">
        <v>11640</v>
      </c>
      <c r="P491" s="2">
        <v>16963</v>
      </c>
      <c r="Q491" s="2">
        <v>20220</v>
      </c>
      <c r="R491" s="2">
        <v>26291</v>
      </c>
    </row>
    <row r="492" spans="1:18">
      <c r="A492" s="1" t="s">
        <v>2</v>
      </c>
      <c r="B492" s="2">
        <v>17.511233717712905</v>
      </c>
      <c r="C492" s="2">
        <v>17.713490275236882</v>
      </c>
      <c r="D492" s="2">
        <v>28.384964857566032</v>
      </c>
      <c r="E492" s="2">
        <v>43.538519207173117</v>
      </c>
      <c r="F492" s="2">
        <v>19.36899878941167</v>
      </c>
      <c r="G492" s="2">
        <v>15.429393868506597</v>
      </c>
      <c r="H492" s="2">
        <v>24.894153555313121</v>
      </c>
      <c r="I492" s="2">
        <v>30.593878722839101</v>
      </c>
      <c r="J492" s="2">
        <v>39.705222470071135</v>
      </c>
      <c r="K492" s="2">
        <v>22.62768513469755</v>
      </c>
      <c r="L492" s="2">
        <v>19.160619727899107</v>
      </c>
      <c r="M492" s="2">
        <v>14.626556506436945</v>
      </c>
      <c r="N492" s="2">
        <v>35.352675107994294</v>
      </c>
      <c r="O492" s="2">
        <v>20.79487209561454</v>
      </c>
      <c r="P492" s="2">
        <v>21.014137522787408</v>
      </c>
      <c r="Q492" s="2">
        <v>15.303662201595822</v>
      </c>
      <c r="R492" s="2">
        <v>23.405037935255859</v>
      </c>
    </row>
    <row r="493" spans="1:18">
      <c r="A493" s="1" t="s">
        <v>3</v>
      </c>
      <c r="B493" s="2">
        <v>19.724113239836701</v>
      </c>
      <c r="C493" s="2">
        <v>101.82716645668681</v>
      </c>
      <c r="D493" s="2">
        <v>56.405426598956808</v>
      </c>
      <c r="E493" s="2">
        <v>38.807583225094042</v>
      </c>
      <c r="F493" s="2">
        <v>35.497230317766615</v>
      </c>
      <c r="G493" s="2">
        <v>77.920924629012944</v>
      </c>
      <c r="H493" s="2">
        <v>22.473335317144052</v>
      </c>
      <c r="I493" s="2">
        <v>53.958589505533027</v>
      </c>
      <c r="J493" s="2">
        <v>192.11406938249144</v>
      </c>
      <c r="K493" s="2">
        <v>58.065805358377432</v>
      </c>
      <c r="L493" s="2">
        <v>30.847932074993196</v>
      </c>
      <c r="M493" s="2">
        <v>80.538534306495819</v>
      </c>
      <c r="N493" s="2">
        <v>90.429441652147517</v>
      </c>
      <c r="O493" s="2">
        <v>93.71444656869069</v>
      </c>
      <c r="P493" s="2">
        <v>44.242634750617135</v>
      </c>
      <c r="Q493" s="2">
        <v>38.097674842528654</v>
      </c>
      <c r="R493" s="2">
        <v>48.923144955978096</v>
      </c>
    </row>
    <row r="494" spans="1:18">
      <c r="A494" s="6" t="s">
        <v>27</v>
      </c>
      <c r="B494" s="5">
        <v>72.623634146341459</v>
      </c>
      <c r="C494" s="5">
        <v>71.05341463414635</v>
      </c>
      <c r="D494" s="5">
        <v>75.041463414634151</v>
      </c>
      <c r="E494" s="5">
        <v>70.424731707317079</v>
      </c>
      <c r="F494" s="5">
        <v>69.436682926829292</v>
      </c>
      <c r="G494" s="5">
        <v>76.80880487804879</v>
      </c>
      <c r="H494" s="5">
        <v>59.831560975609761</v>
      </c>
      <c r="I494" s="5">
        <v>63.977707317073182</v>
      </c>
      <c r="J494" s="5">
        <v>71.163439024390271</v>
      </c>
      <c r="K494" s="5">
        <v>72.737634146341463</v>
      </c>
      <c r="L494" s="5">
        <v>67.984780487804883</v>
      </c>
      <c r="M494" s="5">
        <v>66.018536585365851</v>
      </c>
      <c r="N494" s="5">
        <v>72.261170731707324</v>
      </c>
      <c r="O494" s="5">
        <v>71.353658536585371</v>
      </c>
      <c r="P494" s="5">
        <v>66.073097560975626</v>
      </c>
      <c r="Q494" s="5">
        <v>73.476268292682931</v>
      </c>
      <c r="R494" s="5">
        <v>72.169512195121953</v>
      </c>
    </row>
    <row r="495" spans="1:18">
      <c r="A495" s="6" t="s">
        <v>48</v>
      </c>
      <c r="B495" s="5">
        <v>71.155484142857105</v>
      </c>
      <c r="C495" s="5">
        <v>92.153790000000001</v>
      </c>
      <c r="D495" s="5">
        <v>79.657262888888894</v>
      </c>
      <c r="E495" s="5">
        <v>52.236690000000003</v>
      </c>
      <c r="F495" s="5">
        <v>63.638280000000002</v>
      </c>
      <c r="G495" s="5">
        <v>50.298250000000003</v>
      </c>
      <c r="H495" s="5">
        <v>45.054049999999997</v>
      </c>
      <c r="I495" s="5">
        <v>46.920780000000001</v>
      </c>
      <c r="J495" s="5">
        <v>55.172550000000001</v>
      </c>
      <c r="K495" s="5">
        <v>58.781019999999998</v>
      </c>
      <c r="L495" s="5">
        <v>70.497500000000002</v>
      </c>
      <c r="M495" s="5">
        <v>76.497900000000001</v>
      </c>
      <c r="N495" s="5">
        <v>47.741549999999997</v>
      </c>
      <c r="O495" s="5">
        <v>57.728830000000002</v>
      </c>
      <c r="P495" s="5">
        <v>59.77561</v>
      </c>
      <c r="Q495" s="5">
        <v>82.493170000000006</v>
      </c>
      <c r="R495" s="5">
        <v>56.023940555555498</v>
      </c>
    </row>
    <row r="496" spans="1:18">
      <c r="A496" s="3" t="s">
        <v>4</v>
      </c>
      <c r="B496" s="2">
        <f>(B490-1416.986)/(37811.6-1416.986)</f>
        <v>0.22482690519551968</v>
      </c>
      <c r="C496" s="2">
        <f t="shared" ref="C496:R496" si="210">(C490-1416.986)/(37811.6-1416.986)</f>
        <v>0.14888734781303409</v>
      </c>
      <c r="D496" s="2">
        <f t="shared" si="210"/>
        <v>0.2247141634616466</v>
      </c>
      <c r="E496" s="2">
        <f t="shared" si="210"/>
        <v>1.187446680170052E-2</v>
      </c>
      <c r="F496" s="2">
        <f t="shared" si="210"/>
        <v>0.14726686708056633</v>
      </c>
      <c r="G496" s="2">
        <f t="shared" si="210"/>
        <v>0.15911988886338974</v>
      </c>
      <c r="H496" s="2">
        <f t="shared" si="210"/>
        <v>6.8947817555569677E-9</v>
      </c>
      <c r="I496" s="2">
        <f t="shared" si="210"/>
        <v>3.7590591594135289E-2</v>
      </c>
      <c r="J496" s="2">
        <f t="shared" si="210"/>
        <v>0.22199026322281459</v>
      </c>
      <c r="K496" s="2">
        <f t="shared" si="210"/>
        <v>0.23673198101152551</v>
      </c>
      <c r="L496" s="2">
        <f t="shared" si="210"/>
        <v>0.10658286553478206</v>
      </c>
      <c r="M496" s="2">
        <f t="shared" si="210"/>
        <v>3.0162055103353128E-2</v>
      </c>
      <c r="N496" s="2">
        <f t="shared" si="210"/>
        <v>0.11919765011495602</v>
      </c>
      <c r="O496" s="2">
        <f t="shared" si="210"/>
        <v>9.6150174524496076E-2</v>
      </c>
      <c r="P496" s="2">
        <f t="shared" si="210"/>
        <v>0.20182495395894212</v>
      </c>
      <c r="Q496" s="2">
        <f t="shared" si="210"/>
        <v>0.19570427804447016</v>
      </c>
      <c r="R496" s="2">
        <f t="shared" si="210"/>
        <v>0.23965399747849617</v>
      </c>
    </row>
    <row r="497" spans="1:18">
      <c r="A497" s="3" t="s">
        <v>5</v>
      </c>
      <c r="B497" s="2">
        <f t="shared" ref="B497:R497" si="211">(B491-3941)/(51578-3941)</f>
        <v>0.36874698238763987</v>
      </c>
      <c r="C497" s="2">
        <f t="shared" si="211"/>
        <v>0.17759304742112222</v>
      </c>
      <c r="D497" s="2">
        <f t="shared" si="211"/>
        <v>0.45655687805697254</v>
      </c>
      <c r="E497" s="2">
        <f t="shared" si="211"/>
        <v>0</v>
      </c>
      <c r="F497" s="2">
        <f t="shared" si="211"/>
        <v>0.24182883053088985</v>
      </c>
      <c r="G497" s="2">
        <f t="shared" si="211"/>
        <v>0.2395197010726956</v>
      </c>
      <c r="H497" s="2">
        <f t="shared" si="211"/>
        <v>3.568654617209312E-3</v>
      </c>
      <c r="I497" s="2">
        <f t="shared" si="211"/>
        <v>8.9510254634002986E-2</v>
      </c>
      <c r="J497" s="2">
        <f t="shared" si="211"/>
        <v>0.30505699351344545</v>
      </c>
      <c r="K497" s="2">
        <f t="shared" si="211"/>
        <v>0.27562608896446039</v>
      </c>
      <c r="L497" s="2">
        <f t="shared" si="211"/>
        <v>0.15716774775909481</v>
      </c>
      <c r="M497" s="2">
        <f t="shared" si="211"/>
        <v>4.744211432290027E-2</v>
      </c>
      <c r="N497" s="2">
        <f t="shared" si="211"/>
        <v>0.1806998761466927</v>
      </c>
      <c r="O497" s="2">
        <f t="shared" si="211"/>
        <v>0.16161806998761466</v>
      </c>
      <c r="P497" s="2">
        <f t="shared" si="211"/>
        <v>0.27335894367823332</v>
      </c>
      <c r="Q497" s="2">
        <f t="shared" si="211"/>
        <v>0.34173016772676701</v>
      </c>
      <c r="R497" s="2">
        <f t="shared" si="211"/>
        <v>0.4691731217331066</v>
      </c>
    </row>
    <row r="498" spans="1:18">
      <c r="A498" s="3" t="s">
        <v>6</v>
      </c>
      <c r="B498" s="2">
        <f>(B492-14.627)/(43.539-14.627)</f>
        <v>9.9759052217518823E-2</v>
      </c>
      <c r="C498" s="2">
        <f t="shared" ref="C498:R498" si="212">(C492-14.627)/(43.539-14.627)</f>
        <v>0.10675464427355015</v>
      </c>
      <c r="D498" s="2">
        <f t="shared" si="212"/>
        <v>0.47585655982173602</v>
      </c>
      <c r="E498" s="2">
        <f t="shared" si="212"/>
        <v>0.99998337047499708</v>
      </c>
      <c r="F498" s="2">
        <f t="shared" si="212"/>
        <v>0.16401490002115623</v>
      </c>
      <c r="G498" s="2">
        <f t="shared" si="212"/>
        <v>2.7752969995385887E-2</v>
      </c>
      <c r="H498" s="2">
        <f t="shared" si="212"/>
        <v>0.35511737532211957</v>
      </c>
      <c r="I498" s="2">
        <f t="shared" si="212"/>
        <v>0.55225784182481674</v>
      </c>
      <c r="J498" s="2">
        <f t="shared" si="212"/>
        <v>0.86739839755365011</v>
      </c>
      <c r="K498" s="2">
        <f t="shared" si="212"/>
        <v>0.27672541279391083</v>
      </c>
      <c r="L498" s="2">
        <f t="shared" si="212"/>
        <v>0.15680754454548651</v>
      </c>
      <c r="M498" s="2">
        <f t="shared" si="212"/>
        <v>-1.533942871665579E-5</v>
      </c>
      <c r="N498" s="2">
        <f t="shared" si="212"/>
        <v>0.71685373229089278</v>
      </c>
      <c r="O498" s="2">
        <f t="shared" si="212"/>
        <v>0.21333259876918026</v>
      </c>
      <c r="P498" s="2">
        <f t="shared" si="212"/>
        <v>0.22091648875163972</v>
      </c>
      <c r="Q498" s="2">
        <f t="shared" si="212"/>
        <v>2.3404199003729292E-2</v>
      </c>
      <c r="R498" s="2">
        <f t="shared" si="212"/>
        <v>0.30361226948173281</v>
      </c>
    </row>
    <row r="499" spans="1:18">
      <c r="A499" s="3" t="s">
        <v>3</v>
      </c>
      <c r="B499" s="2">
        <f t="shared" ref="B499:R499" si="213">(B493-16.75)/(191.114-16.75)</f>
        <v>1.7056922528943478E-2</v>
      </c>
      <c r="C499" s="2">
        <f t="shared" si="213"/>
        <v>0.48792850850339986</v>
      </c>
      <c r="D499" s="2">
        <f t="shared" si="213"/>
        <v>0.22742897959989911</v>
      </c>
      <c r="E499" s="2">
        <f t="shared" si="213"/>
        <v>0.12650308105511482</v>
      </c>
      <c r="F499" s="2">
        <f t="shared" si="213"/>
        <v>0.10751778072174654</v>
      </c>
      <c r="G499" s="2">
        <f t="shared" si="213"/>
        <v>0.35082313223493922</v>
      </c>
      <c r="H499" s="2">
        <f t="shared" si="213"/>
        <v>3.2824065272327153E-2</v>
      </c>
      <c r="I499" s="2">
        <f t="shared" si="213"/>
        <v>0.21339605368959777</v>
      </c>
      <c r="J499" s="2">
        <f t="shared" si="213"/>
        <v>1.0057355267285186</v>
      </c>
      <c r="K499" s="2">
        <f t="shared" si="213"/>
        <v>0.2369514656602133</v>
      </c>
      <c r="L499" s="2">
        <f t="shared" si="213"/>
        <v>8.0853456418717135E-2</v>
      </c>
      <c r="M499" s="2">
        <f t="shared" si="213"/>
        <v>0.36583546091220559</v>
      </c>
      <c r="N499" s="2">
        <f t="shared" si="213"/>
        <v>0.42256108859711589</v>
      </c>
      <c r="O499" s="2">
        <f t="shared" si="213"/>
        <v>0.44140101493823664</v>
      </c>
      <c r="P499" s="2">
        <f t="shared" si="213"/>
        <v>0.1576738016483743</v>
      </c>
      <c r="Q499" s="2">
        <f t="shared" si="213"/>
        <v>0.12243166503709857</v>
      </c>
      <c r="R499" s="2">
        <f t="shared" si="213"/>
        <v>0.18451713057728714</v>
      </c>
    </row>
    <row r="500" spans="1:18">
      <c r="A500" s="3" t="s">
        <v>7</v>
      </c>
      <c r="B500" s="2">
        <f t="shared" ref="B500:R500" si="214">(B494-59.832)/(79.536-59.832)</f>
        <v>0.64918971510056123</v>
      </c>
      <c r="C500" s="2">
        <f t="shared" si="214"/>
        <v>0.56949932166800388</v>
      </c>
      <c r="D500" s="2">
        <f t="shared" si="214"/>
        <v>0.77189725003218379</v>
      </c>
      <c r="E500" s="2">
        <f t="shared" si="214"/>
        <v>0.53759296119148792</v>
      </c>
      <c r="F500" s="2">
        <f t="shared" si="214"/>
        <v>0.4874483824009993</v>
      </c>
      <c r="G500" s="2">
        <f t="shared" si="214"/>
        <v>0.86159180258063273</v>
      </c>
      <c r="H500" s="2">
        <f t="shared" si="214"/>
        <v>-2.2280977986157119E-5</v>
      </c>
      <c r="I500" s="2">
        <f t="shared" si="214"/>
        <v>0.21039927512551673</v>
      </c>
      <c r="J500" s="2">
        <f t="shared" si="214"/>
        <v>0.57508318231781719</v>
      </c>
      <c r="K500" s="2">
        <f t="shared" si="214"/>
        <v>0.65497534238436161</v>
      </c>
      <c r="L500" s="2">
        <f t="shared" si="214"/>
        <v>0.41376271253577357</v>
      </c>
      <c r="M500" s="2">
        <f t="shared" si="214"/>
        <v>0.31397363912737769</v>
      </c>
      <c r="N500" s="2">
        <f t="shared" si="214"/>
        <v>0.63079429210857307</v>
      </c>
      <c r="O500" s="2">
        <f t="shared" si="214"/>
        <v>0.58473703494647633</v>
      </c>
      <c r="P500" s="2">
        <f t="shared" si="214"/>
        <v>0.31674266955824326</v>
      </c>
      <c r="Q500" s="2">
        <f t="shared" si="214"/>
        <v>0.692461850014359</v>
      </c>
      <c r="R500" s="2">
        <f t="shared" si="214"/>
        <v>0.62614251903785789</v>
      </c>
    </row>
    <row r="501" spans="1:18">
      <c r="A501" s="4" t="s">
        <v>8</v>
      </c>
      <c r="B501" s="2">
        <f t="shared" ref="B501:R501" si="215">(B495-45.054)/(143.462-45.054)</f>
        <v>0.26523742117365567</v>
      </c>
      <c r="C501" s="2">
        <f t="shared" si="215"/>
        <v>0.47861749044793112</v>
      </c>
      <c r="D501" s="2">
        <f t="shared" si="215"/>
        <v>0.35163058784741991</v>
      </c>
      <c r="E501" s="2">
        <f t="shared" si="215"/>
        <v>7.2988883017640865E-2</v>
      </c>
      <c r="F501" s="2">
        <f t="shared" si="215"/>
        <v>0.18884928054629707</v>
      </c>
      <c r="G501" s="2">
        <f t="shared" si="215"/>
        <v>5.3290890984472823E-2</v>
      </c>
      <c r="H501" s="2">
        <f t="shared" si="215"/>
        <v>5.0808877321512889E-7</v>
      </c>
      <c r="I501" s="2">
        <f t="shared" si="215"/>
        <v>1.8969799203316793E-2</v>
      </c>
      <c r="J501" s="2">
        <f t="shared" si="215"/>
        <v>0.10282243313551744</v>
      </c>
      <c r="K501" s="2">
        <f t="shared" si="215"/>
        <v>0.13949089504918297</v>
      </c>
      <c r="L501" s="2">
        <f t="shared" si="215"/>
        <v>0.25855113405414198</v>
      </c>
      <c r="M501" s="2">
        <f t="shared" si="215"/>
        <v>0.31952585155678404</v>
      </c>
      <c r="N501" s="2">
        <f t="shared" si="215"/>
        <v>2.7310279652060756E-2</v>
      </c>
      <c r="O501" s="2">
        <f t="shared" si="215"/>
        <v>0.12879877652223398</v>
      </c>
      <c r="P501" s="2">
        <f t="shared" si="215"/>
        <v>0.14959769530932446</v>
      </c>
      <c r="Q501" s="2">
        <f t="shared" si="215"/>
        <v>0.38044843915128862</v>
      </c>
      <c r="R501" s="2">
        <f t="shared" si="215"/>
        <v>0.11147407279444251</v>
      </c>
    </row>
    <row r="502" spans="1:18">
      <c r="A502" s="3" t="s">
        <v>64</v>
      </c>
      <c r="B502" s="2">
        <f t="shared" ref="B502:R502" si="216">(B496+B497+B498+B499+B500+B501)/6</f>
        <v>0.27080283310063979</v>
      </c>
      <c r="C502" s="2">
        <f t="shared" si="216"/>
        <v>0.32821339335450683</v>
      </c>
      <c r="D502" s="2">
        <f t="shared" si="216"/>
        <v>0.41801406980330968</v>
      </c>
      <c r="E502" s="2">
        <f t="shared" si="216"/>
        <v>0.29149046042349019</v>
      </c>
      <c r="F502" s="2">
        <f t="shared" si="216"/>
        <v>0.22282100688360926</v>
      </c>
      <c r="G502" s="2">
        <f t="shared" si="216"/>
        <v>0.28201639762191938</v>
      </c>
      <c r="H502" s="2">
        <f t="shared" si="216"/>
        <v>6.5248054869537483E-2</v>
      </c>
      <c r="I502" s="2">
        <f t="shared" si="216"/>
        <v>0.18702063601189775</v>
      </c>
      <c r="J502" s="2">
        <f t="shared" si="216"/>
        <v>0.51301446607862722</v>
      </c>
      <c r="K502" s="2">
        <f t="shared" si="216"/>
        <v>0.3034168643106091</v>
      </c>
      <c r="L502" s="2">
        <f t="shared" si="216"/>
        <v>0.19562091014133268</v>
      </c>
      <c r="M502" s="2">
        <f t="shared" si="216"/>
        <v>0.17948729693231735</v>
      </c>
      <c r="N502" s="2">
        <f t="shared" si="216"/>
        <v>0.34956948648504849</v>
      </c>
      <c r="O502" s="2">
        <f t="shared" si="216"/>
        <v>0.27100627828137303</v>
      </c>
      <c r="P502" s="2">
        <f t="shared" si="216"/>
        <v>0.22001909215079285</v>
      </c>
      <c r="Q502" s="2">
        <f t="shared" si="216"/>
        <v>0.29269676649628545</v>
      </c>
      <c r="R502" s="2">
        <f t="shared" si="216"/>
        <v>0.32242885185048714</v>
      </c>
    </row>
    <row r="504" spans="1:18">
      <c r="A504" s="1" t="s">
        <v>9</v>
      </c>
      <c r="B504" s="2" t="s">
        <v>28</v>
      </c>
      <c r="C504" s="2" t="s">
        <v>29</v>
      </c>
      <c r="D504" s="2" t="s">
        <v>30</v>
      </c>
      <c r="E504" s="2" t="s">
        <v>31</v>
      </c>
      <c r="F504" s="2" t="s">
        <v>32</v>
      </c>
      <c r="G504" s="2" t="s">
        <v>33</v>
      </c>
      <c r="H504" s="2" t="s">
        <v>34</v>
      </c>
      <c r="I504" s="2" t="s">
        <v>35</v>
      </c>
      <c r="J504" s="2" t="s">
        <v>36</v>
      </c>
      <c r="K504" s="2" t="s">
        <v>37</v>
      </c>
      <c r="L504" s="2" t="s">
        <v>38</v>
      </c>
      <c r="M504" s="2" t="s">
        <v>39</v>
      </c>
      <c r="N504" s="2" t="s">
        <v>40</v>
      </c>
      <c r="O504" s="2" t="s">
        <v>41</v>
      </c>
      <c r="P504" s="2" t="s">
        <v>42</v>
      </c>
      <c r="Q504" s="2" t="s">
        <v>43</v>
      </c>
      <c r="R504" s="2" t="s">
        <v>44</v>
      </c>
    </row>
    <row r="505" spans="1:18">
      <c r="B505" s="2">
        <v>1995</v>
      </c>
      <c r="C505" s="2">
        <v>1995</v>
      </c>
      <c r="D505" s="2">
        <v>1995</v>
      </c>
      <c r="E505" s="2">
        <v>1995</v>
      </c>
      <c r="F505" s="2">
        <v>1995</v>
      </c>
      <c r="G505" s="2">
        <v>1995</v>
      </c>
      <c r="H505" s="2">
        <v>1995</v>
      </c>
      <c r="I505" s="2">
        <v>1995</v>
      </c>
      <c r="J505" s="2">
        <v>1995</v>
      </c>
      <c r="K505" s="2">
        <v>1995</v>
      </c>
      <c r="L505" s="2">
        <v>1995</v>
      </c>
      <c r="M505" s="2">
        <v>1995</v>
      </c>
      <c r="N505" s="2">
        <v>1995</v>
      </c>
      <c r="O505" s="2">
        <v>1995</v>
      </c>
      <c r="P505" s="2">
        <v>1995</v>
      </c>
      <c r="Q505" s="2">
        <v>1995</v>
      </c>
      <c r="R505" s="2">
        <v>1995</v>
      </c>
    </row>
    <row r="506" spans="1:18">
      <c r="A506" s="1" t="s">
        <v>0</v>
      </c>
      <c r="B506" s="3">
        <v>25404.931844915649</v>
      </c>
      <c r="C506" s="3">
        <v>26706.020986304949</v>
      </c>
      <c r="D506" s="3">
        <v>27778.035784246546</v>
      </c>
      <c r="E506" s="3">
        <v>28054.432724125432</v>
      </c>
      <c r="F506" s="3">
        <v>21907.300656891013</v>
      </c>
      <c r="G506" s="3">
        <v>25240.620148953723</v>
      </c>
      <c r="H506" s="3">
        <v>25262.67018932095</v>
      </c>
      <c r="I506" s="3">
        <v>28139.633152258702</v>
      </c>
      <c r="J506" s="3">
        <v>28025.680885274571</v>
      </c>
      <c r="K506" s="3">
        <v>28464.146604172849</v>
      </c>
      <c r="L506" s="3">
        <v>20584.132433036473</v>
      </c>
      <c r="M506" s="3">
        <v>37811.604138897201</v>
      </c>
      <c r="N506" s="3">
        <v>21021.829428403726</v>
      </c>
      <c r="O506" s="3">
        <v>24640.540260516846</v>
      </c>
      <c r="P506" s="3">
        <v>33043.752462153476</v>
      </c>
      <c r="Q506" s="3">
        <v>24874.971952723612</v>
      </c>
      <c r="R506" s="3">
        <v>35112.321413087411</v>
      </c>
    </row>
    <row r="507" spans="1:18">
      <c r="A507" s="1" t="s">
        <v>1</v>
      </c>
      <c r="B507" s="2">
        <v>40882</v>
      </c>
      <c r="C507" s="2">
        <v>47906</v>
      </c>
      <c r="D507" s="2">
        <v>42736</v>
      </c>
      <c r="E507" s="2">
        <v>40581</v>
      </c>
      <c r="F507" s="2">
        <v>39732</v>
      </c>
      <c r="G507" s="2">
        <v>46435</v>
      </c>
      <c r="H507" s="2">
        <v>45145</v>
      </c>
      <c r="I507" s="2">
        <v>40475</v>
      </c>
      <c r="J507" s="2">
        <v>37378</v>
      </c>
      <c r="K507" s="2">
        <v>40402</v>
      </c>
      <c r="L507" s="2">
        <v>32002</v>
      </c>
      <c r="M507" s="2">
        <v>44368</v>
      </c>
      <c r="N507" s="2">
        <v>38484</v>
      </c>
      <c r="O507" s="2">
        <v>37942</v>
      </c>
      <c r="P507" s="2">
        <v>37310</v>
      </c>
      <c r="Q507" s="2">
        <v>39631</v>
      </c>
      <c r="R507" s="2">
        <v>51578</v>
      </c>
    </row>
    <row r="508" spans="1:18">
      <c r="A508" s="1" t="s">
        <v>2</v>
      </c>
      <c r="B508" s="2">
        <v>24.40725227874956</v>
      </c>
      <c r="C508" s="2">
        <v>24.615369817291647</v>
      </c>
      <c r="D508" s="2">
        <v>21.950060832204297</v>
      </c>
      <c r="E508" s="2">
        <v>23.595427372013987</v>
      </c>
      <c r="F508" s="2">
        <v>25.671427381745502</v>
      </c>
      <c r="G508" s="2">
        <v>19.388332108045784</v>
      </c>
      <c r="H508" s="2">
        <v>23.855592356385358</v>
      </c>
      <c r="I508" s="2">
        <v>29.886333035766892</v>
      </c>
      <c r="J508" s="2">
        <v>29.453372078398761</v>
      </c>
      <c r="K508" s="2">
        <v>26.703706008956267</v>
      </c>
      <c r="L508" s="2">
        <v>23.834332461615109</v>
      </c>
      <c r="M508" s="2">
        <v>28.492522553175252</v>
      </c>
      <c r="N508" s="2">
        <v>21.899799868069454</v>
      </c>
      <c r="O508" s="2">
        <v>23.94274898802205</v>
      </c>
      <c r="P508" s="2">
        <v>28.097241508783551</v>
      </c>
      <c r="Q508" s="2">
        <v>17.032973027523436</v>
      </c>
      <c r="R508" s="2">
        <v>16.917856753515753</v>
      </c>
    </row>
    <row r="509" spans="1:18">
      <c r="A509" s="1" t="s">
        <v>3</v>
      </c>
      <c r="B509" s="2">
        <v>70.620690836462956</v>
      </c>
      <c r="C509" s="2">
        <v>126.78295748026952</v>
      </c>
      <c r="D509" s="2">
        <v>71.455999684116748</v>
      </c>
      <c r="E509" s="2">
        <v>70.96636244599307</v>
      </c>
      <c r="F509" s="2">
        <v>65.463649233844095</v>
      </c>
      <c r="G509" s="2">
        <v>44.436899140247746</v>
      </c>
      <c r="H509" s="2">
        <v>47.587995639465348</v>
      </c>
      <c r="I509" s="2">
        <v>140.92707510083261</v>
      </c>
      <c r="J509" s="2">
        <v>16.749699874568201</v>
      </c>
      <c r="K509" s="2">
        <v>113.04916120958785</v>
      </c>
      <c r="L509" s="2">
        <v>56.584848788548314</v>
      </c>
      <c r="M509" s="2">
        <v>69.752299305624007</v>
      </c>
      <c r="N509" s="2">
        <v>44.766270502342323</v>
      </c>
      <c r="O509" s="2">
        <v>72.618045673707911</v>
      </c>
      <c r="P509" s="2">
        <v>66.301089257657821</v>
      </c>
      <c r="Q509" s="2">
        <v>56.616834818469698</v>
      </c>
      <c r="R509" s="2">
        <v>23.363403466695736</v>
      </c>
    </row>
    <row r="510" spans="1:18">
      <c r="A510" s="6" t="s">
        <v>27</v>
      </c>
      <c r="B510" s="2">
        <v>76.715609756097564</v>
      </c>
      <c r="C510" s="2">
        <v>76.668292682926847</v>
      </c>
      <c r="D510" s="2">
        <v>77.977560975609762</v>
      </c>
      <c r="E510" s="2">
        <v>75.212682926829274</v>
      </c>
      <c r="F510" s="2">
        <v>76.409512195121962</v>
      </c>
      <c r="G510" s="2">
        <v>77.751219512195121</v>
      </c>
      <c r="H510" s="2">
        <v>78.014390243902454</v>
      </c>
      <c r="I510" s="2">
        <v>75.570853658536592</v>
      </c>
      <c r="J510" s="2">
        <v>79.536341463414658</v>
      </c>
      <c r="K510" s="2">
        <v>77.404634146341479</v>
      </c>
      <c r="L510" s="2">
        <v>76.734146341463429</v>
      </c>
      <c r="M510" s="2">
        <v>77.736585365853671</v>
      </c>
      <c r="N510" s="2">
        <v>77.980731707317076</v>
      </c>
      <c r="O510" s="2">
        <v>78.740487804878057</v>
      </c>
      <c r="P510" s="2">
        <v>78.417073170731712</v>
      </c>
      <c r="Q510" s="2">
        <v>76.836585365853665</v>
      </c>
      <c r="R510" s="2">
        <v>75.621951219512198</v>
      </c>
    </row>
    <row r="511" spans="1:18">
      <c r="A511" s="6" t="s">
        <v>8</v>
      </c>
      <c r="B511" s="2">
        <v>105.37676999999999</v>
      </c>
      <c r="C511" s="2">
        <v>143.46244999999999</v>
      </c>
      <c r="D511" s="2">
        <v>104.66124000000001</v>
      </c>
      <c r="E511" s="2">
        <v>117.66346</v>
      </c>
      <c r="F511" s="2">
        <v>115.53982999999999</v>
      </c>
      <c r="G511" s="2">
        <v>112.96668</v>
      </c>
      <c r="H511" s="2">
        <v>88.153980000000004</v>
      </c>
      <c r="I511" s="2">
        <v>114.50411</v>
      </c>
      <c r="J511" s="2">
        <v>100.87555</v>
      </c>
      <c r="K511" s="2">
        <v>140.11783</v>
      </c>
      <c r="L511" s="2">
        <v>113.37432</v>
      </c>
      <c r="M511" s="2">
        <v>115.92022</v>
      </c>
      <c r="N511" s="2">
        <v>115.57664</v>
      </c>
      <c r="O511" s="2">
        <v>130.79943</v>
      </c>
      <c r="P511" s="2">
        <v>101.33333</v>
      </c>
      <c r="Q511" s="2">
        <v>102.35556</v>
      </c>
      <c r="R511" s="2">
        <v>95.126580000000004</v>
      </c>
    </row>
    <row r="512" spans="1:18">
      <c r="A512" s="3" t="s">
        <v>4</v>
      </c>
      <c r="B512" s="2">
        <f t="shared" ref="B512:R512" si="217">(B506-1416.986)/(37811.6-1416.986)</f>
        <v>0.65910702734519033</v>
      </c>
      <c r="C512" s="2">
        <f t="shared" si="217"/>
        <v>0.69485652427320554</v>
      </c>
      <c r="D512" s="2">
        <f t="shared" si="217"/>
        <v>0.72431183867608939</v>
      </c>
      <c r="E512" s="2">
        <f t="shared" si="217"/>
        <v>0.73190628492791354</v>
      </c>
      <c r="F512" s="2">
        <f t="shared" si="217"/>
        <v>0.56300403836927659</v>
      </c>
      <c r="G512" s="2">
        <f t="shared" si="217"/>
        <v>0.65459230173326532</v>
      </c>
      <c r="H512" s="2">
        <f t="shared" si="217"/>
        <v>0.65519816172032896</v>
      </c>
      <c r="I512" s="2">
        <f t="shared" si="217"/>
        <v>0.73424730242388891</v>
      </c>
      <c r="J512" s="2">
        <f t="shared" si="217"/>
        <v>0.73111628235086024</v>
      </c>
      <c r="K512" s="2">
        <f t="shared" si="217"/>
        <v>0.74316382649841672</v>
      </c>
      <c r="L512" s="2">
        <f t="shared" si="217"/>
        <v>0.52664788347628777</v>
      </c>
      <c r="M512" s="2">
        <f t="shared" si="217"/>
        <v>1.0000001137227943</v>
      </c>
      <c r="N512" s="2">
        <f t="shared" si="217"/>
        <v>0.53867430572017394</v>
      </c>
      <c r="O512" s="2">
        <f t="shared" si="217"/>
        <v>0.63810415080970073</v>
      </c>
      <c r="P512" s="2">
        <f t="shared" si="217"/>
        <v>0.86899579322790654</v>
      </c>
      <c r="Q512" s="2">
        <f t="shared" si="217"/>
        <v>0.64454553502679302</v>
      </c>
      <c r="R512" s="2">
        <f t="shared" si="217"/>
        <v>0.92583302059715245</v>
      </c>
    </row>
    <row r="513" spans="1:18">
      <c r="A513" s="3" t="s">
        <v>5</v>
      </c>
      <c r="B513" s="2">
        <f>(B507-3941)/(51578-3941)</f>
        <v>0.77546864831958351</v>
      </c>
      <c r="C513" s="2">
        <f t="shared" ref="C513:R513" si="218">(C507-3941)/(51578-3941)</f>
        <v>0.92291706026827891</v>
      </c>
      <c r="D513" s="2">
        <f t="shared" si="218"/>
        <v>0.81438797573314858</v>
      </c>
      <c r="E513" s="2">
        <f t="shared" si="218"/>
        <v>0.7691500304385247</v>
      </c>
      <c r="F513" s="2">
        <f t="shared" si="218"/>
        <v>0.7513277494384617</v>
      </c>
      <c r="G513" s="2">
        <f t="shared" si="218"/>
        <v>0.8920377017864265</v>
      </c>
      <c r="H513" s="2">
        <f t="shared" si="218"/>
        <v>0.86495791086760287</v>
      </c>
      <c r="I513" s="2">
        <f t="shared" si="218"/>
        <v>0.76692486932426474</v>
      </c>
      <c r="J513" s="2">
        <f t="shared" si="218"/>
        <v>0.70191237903310455</v>
      </c>
      <c r="K513" s="2">
        <f t="shared" si="218"/>
        <v>0.76539244704746312</v>
      </c>
      <c r="L513" s="2">
        <f t="shared" si="218"/>
        <v>0.58905892478535593</v>
      </c>
      <c r="M513" s="2">
        <f t="shared" si="218"/>
        <v>0.84864706005835799</v>
      </c>
      <c r="N513" s="2">
        <f t="shared" si="218"/>
        <v>0.72512962613094867</v>
      </c>
      <c r="O513" s="2">
        <f t="shared" si="218"/>
        <v>0.713751915527846</v>
      </c>
      <c r="P513" s="2">
        <f t="shared" si="218"/>
        <v>0.70048491718622075</v>
      </c>
      <c r="Q513" s="2">
        <f t="shared" si="218"/>
        <v>0.74920754875411966</v>
      </c>
      <c r="R513" s="2">
        <f t="shared" si="218"/>
        <v>1</v>
      </c>
    </row>
    <row r="514" spans="1:18">
      <c r="A514" s="3" t="s">
        <v>6</v>
      </c>
      <c r="B514" s="2">
        <f t="shared" ref="B514:R514" si="219">(B508-14.627)/(43.539-14.627)</f>
        <v>0.33827657300600306</v>
      </c>
      <c r="C514" s="2">
        <f t="shared" si="219"/>
        <v>0.34547488299984941</v>
      </c>
      <c r="D514" s="2">
        <f t="shared" si="219"/>
        <v>0.25328793691907503</v>
      </c>
      <c r="E514" s="2">
        <f t="shared" si="219"/>
        <v>0.31019740495344444</v>
      </c>
      <c r="F514" s="2">
        <f t="shared" si="219"/>
        <v>0.38200150047542553</v>
      </c>
      <c r="G514" s="2">
        <f t="shared" si="219"/>
        <v>0.16468359532532456</v>
      </c>
      <c r="H514" s="2">
        <f t="shared" si="219"/>
        <v>0.31919591714116485</v>
      </c>
      <c r="I514" s="2">
        <f t="shared" si="219"/>
        <v>0.52778545364439999</v>
      </c>
      <c r="J514" s="2">
        <f t="shared" si="219"/>
        <v>0.51281032368562396</v>
      </c>
      <c r="K514" s="2">
        <f t="shared" si="219"/>
        <v>0.41770565885985983</v>
      </c>
      <c r="L514" s="2">
        <f t="shared" si="219"/>
        <v>0.31846058597174559</v>
      </c>
      <c r="M514" s="2">
        <f t="shared" si="219"/>
        <v>0.4795767346837041</v>
      </c>
      <c r="N514" s="2">
        <f t="shared" si="219"/>
        <v>0.25154952504390748</v>
      </c>
      <c r="O514" s="2">
        <f t="shared" si="219"/>
        <v>0.32221046582810076</v>
      </c>
      <c r="P514" s="2">
        <f t="shared" si="219"/>
        <v>0.46590486679522519</v>
      </c>
      <c r="Q514" s="2">
        <f t="shared" si="219"/>
        <v>8.3217108035536641E-2</v>
      </c>
      <c r="R514" s="2">
        <f t="shared" si="219"/>
        <v>7.9235499222321273E-2</v>
      </c>
    </row>
    <row r="515" spans="1:18">
      <c r="A515" s="3" t="s">
        <v>3</v>
      </c>
      <c r="B515" s="2">
        <f>(B509-16.75)/(191.114-16.75)</f>
        <v>0.30895535108430039</v>
      </c>
      <c r="C515" s="2">
        <f t="shared" ref="C515:R515" si="220">(C509-16.75)/(191.114-16.75)</f>
        <v>0.63105318460387183</v>
      </c>
      <c r="D515" s="2">
        <f t="shared" si="220"/>
        <v>0.31374595492255708</v>
      </c>
      <c r="E515" s="2">
        <f t="shared" si="220"/>
        <v>0.31093782229125894</v>
      </c>
      <c r="F515" s="2">
        <f t="shared" si="220"/>
        <v>0.27937905320963097</v>
      </c>
      <c r="G515" s="2">
        <f t="shared" si="220"/>
        <v>0.15878793294629479</v>
      </c>
      <c r="H515" s="2">
        <f t="shared" si="220"/>
        <v>0.17685987726517713</v>
      </c>
      <c r="I515" s="2">
        <f t="shared" si="220"/>
        <v>0.71217152107563841</v>
      </c>
      <c r="J515" s="2">
        <f t="shared" si="220"/>
        <v>-1.7212580108242438E-6</v>
      </c>
      <c r="K515" s="2">
        <f t="shared" si="220"/>
        <v>0.55228809392757594</v>
      </c>
      <c r="L515" s="2">
        <f t="shared" si="220"/>
        <v>0.22845798896875683</v>
      </c>
      <c r="M515" s="2">
        <f t="shared" si="220"/>
        <v>0.30397501379656355</v>
      </c>
      <c r="N515" s="2">
        <f t="shared" si="220"/>
        <v>0.16067692013455945</v>
      </c>
      <c r="O515" s="2">
        <f t="shared" si="220"/>
        <v>0.32041043835716038</v>
      </c>
      <c r="P515" s="2">
        <f t="shared" si="220"/>
        <v>0.28418187961768382</v>
      </c>
      <c r="Q515" s="2">
        <f t="shared" si="220"/>
        <v>0.22864143297050823</v>
      </c>
      <c r="R515" s="2">
        <f t="shared" si="220"/>
        <v>3.792872076056833E-2</v>
      </c>
    </row>
    <row r="516" spans="1:18">
      <c r="A516" s="3" t="s">
        <v>7</v>
      </c>
      <c r="B516" s="2">
        <f>(B510-59.832)/(79.536-59.832)</f>
        <v>0.85686204608696526</v>
      </c>
      <c r="C516" s="2">
        <f t="shared" ref="C516:R516" si="221">(C510-59.832)/(79.536-59.832)</f>
        <v>0.85446065179287689</v>
      </c>
      <c r="D516" s="2">
        <f t="shared" si="221"/>
        <v>0.9209074794767439</v>
      </c>
      <c r="E516" s="2">
        <f t="shared" si="221"/>
        <v>0.78058683144687746</v>
      </c>
      <c r="F516" s="2">
        <f t="shared" si="221"/>
        <v>0.84132725310200773</v>
      </c>
      <c r="G516" s="2">
        <f t="shared" si="221"/>
        <v>0.90942039749264714</v>
      </c>
      <c r="H516" s="2">
        <f t="shared" si="221"/>
        <v>0.92277660596338074</v>
      </c>
      <c r="I516" s="2">
        <f t="shared" si="221"/>
        <v>0.79876439598744375</v>
      </c>
      <c r="J516" s="2">
        <f t="shared" si="221"/>
        <v>1.000017329649546</v>
      </c>
      <c r="K516" s="2">
        <f t="shared" si="221"/>
        <v>0.89183080320450048</v>
      </c>
      <c r="L516" s="2">
        <f t="shared" si="221"/>
        <v>0.85780279849083574</v>
      </c>
      <c r="M516" s="2">
        <f t="shared" si="221"/>
        <v>0.90867769822643474</v>
      </c>
      <c r="N516" s="2">
        <f t="shared" si="221"/>
        <v>0.92106839765108994</v>
      </c>
      <c r="O516" s="2">
        <f t="shared" si="221"/>
        <v>0.95962686788865492</v>
      </c>
      <c r="P516" s="2">
        <f t="shared" si="221"/>
        <v>0.94321321410534464</v>
      </c>
      <c r="Q516" s="2">
        <f t="shared" si="221"/>
        <v>0.86300169335432719</v>
      </c>
      <c r="R516" s="2">
        <f t="shared" si="221"/>
        <v>0.8013576542586377</v>
      </c>
    </row>
    <row r="517" spans="1:18">
      <c r="A517" s="4" t="s">
        <v>8</v>
      </c>
      <c r="B517" s="2">
        <f>(B511-45.054)/(143.462-45.054)</f>
        <v>0.61298644419152915</v>
      </c>
      <c r="C517" s="2">
        <f t="shared" ref="C517:R517" si="222">(C511-45.054)/(143.462-45.054)</f>
        <v>1.0000045727989595</v>
      </c>
      <c r="D517" s="2">
        <f t="shared" si="222"/>
        <v>0.60571538899276489</v>
      </c>
      <c r="E517" s="2">
        <f t="shared" si="222"/>
        <v>0.73784102918461925</v>
      </c>
      <c r="F517" s="2">
        <f t="shared" si="222"/>
        <v>0.71626117795301192</v>
      </c>
      <c r="G517" s="2">
        <f t="shared" si="222"/>
        <v>0.69011340541419397</v>
      </c>
      <c r="H517" s="2">
        <f t="shared" si="222"/>
        <v>0.43797231932363229</v>
      </c>
      <c r="I517" s="2">
        <f t="shared" si="222"/>
        <v>0.7057364238679783</v>
      </c>
      <c r="J517" s="2">
        <f t="shared" si="222"/>
        <v>0.56724605723111954</v>
      </c>
      <c r="K517" s="2">
        <f t="shared" si="222"/>
        <v>0.96601729534184222</v>
      </c>
      <c r="L517" s="2">
        <f t="shared" si="222"/>
        <v>0.69425575156491348</v>
      </c>
      <c r="M517" s="2">
        <f t="shared" si="222"/>
        <v>0.72012661572229908</v>
      </c>
      <c r="N517" s="2">
        <f t="shared" si="222"/>
        <v>0.71663523290789377</v>
      </c>
      <c r="O517" s="2">
        <f t="shared" si="222"/>
        <v>0.87132580684497207</v>
      </c>
      <c r="P517" s="2">
        <f t="shared" si="222"/>
        <v>0.57189791480367458</v>
      </c>
      <c r="Q517" s="2">
        <f t="shared" si="222"/>
        <v>0.58228558653767992</v>
      </c>
      <c r="R517" s="2">
        <f t="shared" si="222"/>
        <v>0.50882631493374531</v>
      </c>
    </row>
    <row r="518" spans="1:18">
      <c r="A518" s="4" t="s">
        <v>64</v>
      </c>
      <c r="B518" s="2">
        <f>(B512+B513+B514+B515+B516+B517)/6</f>
        <v>0.59194268167226194</v>
      </c>
      <c r="C518" s="2">
        <f t="shared" ref="C518:R518" si="223">(C512+C513+C514+C515+C516+C517)/6</f>
        <v>0.74146114612284031</v>
      </c>
      <c r="D518" s="2">
        <f t="shared" si="223"/>
        <v>0.60539276245339646</v>
      </c>
      <c r="E518" s="2">
        <f t="shared" si="223"/>
        <v>0.60676990054043978</v>
      </c>
      <c r="F518" s="2">
        <f t="shared" si="223"/>
        <v>0.58888346209130249</v>
      </c>
      <c r="G518" s="2">
        <f t="shared" si="223"/>
        <v>0.57827255578302539</v>
      </c>
      <c r="H518" s="2">
        <f t="shared" si="223"/>
        <v>0.56282679871354779</v>
      </c>
      <c r="I518" s="2">
        <f t="shared" si="223"/>
        <v>0.70760499438726898</v>
      </c>
      <c r="J518" s="2">
        <f t="shared" si="223"/>
        <v>0.58551677511537392</v>
      </c>
      <c r="K518" s="2">
        <f t="shared" si="223"/>
        <v>0.72273302081327628</v>
      </c>
      <c r="L518" s="2">
        <f t="shared" si="223"/>
        <v>0.5357806555429826</v>
      </c>
      <c r="M518" s="2">
        <f t="shared" si="223"/>
        <v>0.7101672060350257</v>
      </c>
      <c r="N518" s="2">
        <f t="shared" si="223"/>
        <v>0.55228900126476221</v>
      </c>
      <c r="O518" s="2">
        <f t="shared" si="223"/>
        <v>0.63757160754273912</v>
      </c>
      <c r="P518" s="2">
        <f t="shared" si="223"/>
        <v>0.63911309762267587</v>
      </c>
      <c r="Q518" s="2">
        <f t="shared" si="223"/>
        <v>0.52514981744649414</v>
      </c>
      <c r="R518" s="2">
        <f t="shared" si="223"/>
        <v>0.55886353496207086</v>
      </c>
    </row>
    <row r="520" spans="1:18">
      <c r="A520" s="1" t="s">
        <v>9</v>
      </c>
      <c r="B520" s="2" t="s">
        <v>10</v>
      </c>
      <c r="C520" s="2" t="s">
        <v>11</v>
      </c>
      <c r="D520" s="2" t="s">
        <v>12</v>
      </c>
      <c r="E520" s="2" t="s">
        <v>13</v>
      </c>
      <c r="F520" s="2" t="s">
        <v>14</v>
      </c>
      <c r="G520" s="2" t="s">
        <v>15</v>
      </c>
      <c r="H520" s="2" t="s">
        <v>16</v>
      </c>
      <c r="I520" s="2" t="s">
        <v>17</v>
      </c>
      <c r="J520" s="2" t="s">
        <v>18</v>
      </c>
      <c r="K520" s="2" t="s">
        <v>19</v>
      </c>
      <c r="L520" s="2" t="s">
        <v>20</v>
      </c>
      <c r="M520" s="2" t="s">
        <v>21</v>
      </c>
      <c r="N520" s="2" t="s">
        <v>22</v>
      </c>
      <c r="O520" s="2" t="s">
        <v>23</v>
      </c>
      <c r="P520" s="2" t="s">
        <v>24</v>
      </c>
      <c r="Q520" s="2" t="s">
        <v>25</v>
      </c>
      <c r="R520" s="2" t="s">
        <v>26</v>
      </c>
    </row>
    <row r="521" spans="1:18">
      <c r="B521" s="2">
        <v>1994</v>
      </c>
      <c r="C521" s="2">
        <v>1994</v>
      </c>
      <c r="D521" s="2">
        <v>1994</v>
      </c>
      <c r="E521" s="2">
        <v>1994</v>
      </c>
      <c r="F521" s="2">
        <v>1994</v>
      </c>
      <c r="G521" s="2">
        <v>1994</v>
      </c>
      <c r="H521" s="2">
        <v>1994</v>
      </c>
      <c r="I521" s="2">
        <v>1994</v>
      </c>
      <c r="J521" s="2">
        <v>1994</v>
      </c>
      <c r="K521" s="2">
        <v>1994</v>
      </c>
      <c r="L521" s="2">
        <v>1994</v>
      </c>
      <c r="M521" s="2">
        <v>1994</v>
      </c>
      <c r="N521" s="2">
        <v>1994</v>
      </c>
      <c r="O521" s="2">
        <v>1994</v>
      </c>
      <c r="P521" s="2">
        <v>1994</v>
      </c>
      <c r="Q521" s="2">
        <v>1994</v>
      </c>
      <c r="R521" s="2">
        <v>1994</v>
      </c>
    </row>
    <row r="522" spans="1:18">
      <c r="A522" s="1" t="s">
        <v>0</v>
      </c>
      <c r="B522" s="3">
        <v>10005.206658862297</v>
      </c>
      <c r="C522" s="3">
        <v>6616.0730009425652</v>
      </c>
      <c r="D522" s="3">
        <v>8817.3039256829288</v>
      </c>
      <c r="E522" s="3">
        <v>1685.6207313865207</v>
      </c>
      <c r="F522" s="3">
        <v>6559.6850332178601</v>
      </c>
      <c r="G522" s="3">
        <v>7109.0938264233964</v>
      </c>
      <c r="H522" s="3">
        <v>1341.5690154149327</v>
      </c>
      <c r="I522" s="3">
        <v>2610.0489526343381</v>
      </c>
      <c r="J522" s="3">
        <v>8868.3828802824009</v>
      </c>
      <c r="K522" s="3">
        <v>10856.481229639459</v>
      </c>
      <c r="L522" s="3">
        <v>4964.9840408955597</v>
      </c>
      <c r="M522" s="3">
        <v>2457.2453071091809</v>
      </c>
      <c r="N522" s="3">
        <v>5312.8533770802742</v>
      </c>
      <c r="O522" s="3">
        <v>4880.8030399585205</v>
      </c>
      <c r="P522" s="3">
        <v>8250.5562679471859</v>
      </c>
      <c r="Q522" s="3">
        <v>8727.6584178609864</v>
      </c>
      <c r="R522" s="3">
        <v>9963.627309982634</v>
      </c>
    </row>
    <row r="523" spans="1:18">
      <c r="A523" s="1" t="s">
        <v>1</v>
      </c>
      <c r="B523" s="2">
        <v>22744</v>
      </c>
      <c r="C523" s="2">
        <v>12207</v>
      </c>
      <c r="D523" s="2">
        <v>23512</v>
      </c>
      <c r="E523" s="2">
        <v>3455</v>
      </c>
      <c r="F523" s="2">
        <v>13976</v>
      </c>
      <c r="G523" s="2">
        <v>15231</v>
      </c>
      <c r="H523" s="2">
        <v>3888</v>
      </c>
      <c r="I523" s="2">
        <v>7404</v>
      </c>
      <c r="J523" s="2">
        <v>16913</v>
      </c>
      <c r="K523" s="2">
        <v>17842</v>
      </c>
      <c r="L523" s="2">
        <v>10435</v>
      </c>
      <c r="M523" s="2">
        <v>6076</v>
      </c>
      <c r="N523" s="2">
        <v>11736</v>
      </c>
      <c r="O523" s="2">
        <v>11705</v>
      </c>
      <c r="P523" s="2">
        <v>16273</v>
      </c>
      <c r="Q523" s="2">
        <v>20837</v>
      </c>
      <c r="R523" s="2">
        <v>26115</v>
      </c>
    </row>
    <row r="524" spans="1:18">
      <c r="A524" s="1" t="s">
        <v>2</v>
      </c>
      <c r="B524" s="2">
        <v>16.860757869590874</v>
      </c>
      <c r="C524" s="2">
        <v>8.7661733211567761</v>
      </c>
      <c r="D524" s="2">
        <v>26.515998932111451</v>
      </c>
      <c r="E524" s="2">
        <v>43.518862359191374</v>
      </c>
      <c r="F524" s="2">
        <v>19.617632968080041</v>
      </c>
      <c r="G524" s="2">
        <v>14.476658658058431</v>
      </c>
      <c r="H524" s="2">
        <v>22.897164903044203</v>
      </c>
      <c r="I524" s="2">
        <v>32.203047451350997</v>
      </c>
      <c r="J524" s="2">
        <v>39.598897126991169</v>
      </c>
      <c r="K524" s="2">
        <v>17.077418271260463</v>
      </c>
      <c r="L524" s="2">
        <v>18.799432454345236</v>
      </c>
      <c r="M524" s="2">
        <v>17.754641060597827</v>
      </c>
      <c r="N524" s="2">
        <v>35.410341053491642</v>
      </c>
      <c r="O524" s="2">
        <v>21.704460660941709</v>
      </c>
      <c r="P524" s="2">
        <v>22.298942999885924</v>
      </c>
      <c r="Q524" s="2">
        <v>15.256421188854469</v>
      </c>
      <c r="R524" s="2">
        <v>22.720402546485531</v>
      </c>
    </row>
    <row r="525" spans="1:18">
      <c r="A525" s="1" t="s">
        <v>3</v>
      </c>
      <c r="B525" s="2">
        <v>18.121880267968564</v>
      </c>
      <c r="C525" s="2">
        <v>90.72012785388128</v>
      </c>
      <c r="D525" s="2">
        <v>54.812119922313563</v>
      </c>
      <c r="E525" s="2">
        <v>41.217241834826659</v>
      </c>
      <c r="F525" s="2">
        <v>35.917537450137978</v>
      </c>
      <c r="G525" s="2">
        <v>76.693320575866366</v>
      </c>
      <c r="H525" s="2">
        <v>19.732103783040159</v>
      </c>
      <c r="I525" s="2">
        <v>51.877101158937712</v>
      </c>
      <c r="J525" s="2">
        <v>179.90585361257718</v>
      </c>
      <c r="K525" s="2">
        <v>38.392070672734732</v>
      </c>
      <c r="L525" s="2">
        <v>27.94371499427395</v>
      </c>
      <c r="M525" s="2">
        <v>73.959556556317679</v>
      </c>
      <c r="N525" s="2">
        <v>82.586537494085348</v>
      </c>
      <c r="O525" s="2">
        <v>92.804386042570414</v>
      </c>
      <c r="P525" s="2">
        <v>41.745852340941184</v>
      </c>
      <c r="Q525" s="2">
        <v>40.148833719520326</v>
      </c>
      <c r="R525" s="2">
        <v>53.162600119052392</v>
      </c>
    </row>
    <row r="526" spans="1:18">
      <c r="A526" s="6" t="s">
        <v>27</v>
      </c>
      <c r="B526" s="5">
        <v>72.398439024390257</v>
      </c>
      <c r="C526" s="5">
        <v>71.208780487804887</v>
      </c>
      <c r="D526" s="5">
        <v>74.765682926829285</v>
      </c>
      <c r="E526" s="5">
        <v>70.242926829268299</v>
      </c>
      <c r="F526" s="5">
        <v>69.139341463414652</v>
      </c>
      <c r="G526" s="5">
        <v>76.595439024390245</v>
      </c>
      <c r="H526" s="5">
        <v>59.499170731707324</v>
      </c>
      <c r="I526" s="5">
        <v>63.620609756097579</v>
      </c>
      <c r="J526" s="5">
        <v>70.953878048780481</v>
      </c>
      <c r="K526" s="5">
        <v>72.362219512195139</v>
      </c>
      <c r="L526" s="5">
        <v>67.485390243902458</v>
      </c>
      <c r="M526" s="5">
        <v>65.852951219512207</v>
      </c>
      <c r="N526" s="5">
        <v>72.306390243902456</v>
      </c>
      <c r="O526" s="5">
        <v>70.953658536585365</v>
      </c>
      <c r="P526" s="5">
        <v>65.423658536585378</v>
      </c>
      <c r="Q526" s="5">
        <v>73.256536585365865</v>
      </c>
      <c r="R526" s="5">
        <v>72.123170731707333</v>
      </c>
    </row>
    <row r="527" spans="1:18">
      <c r="A527" s="6" t="s">
        <v>48</v>
      </c>
      <c r="B527" s="5">
        <v>70.323999999999998</v>
      </c>
      <c r="C527" s="5">
        <v>90.454599999999999</v>
      </c>
      <c r="D527" s="5">
        <v>79.4639555555556</v>
      </c>
      <c r="E527" s="5">
        <v>48.751199999999997</v>
      </c>
      <c r="F527" s="5">
        <v>62.35284</v>
      </c>
      <c r="G527" s="5">
        <v>49.168970000000002</v>
      </c>
      <c r="H527" s="5">
        <v>45.13937</v>
      </c>
      <c r="I527" s="5">
        <v>44.08231</v>
      </c>
      <c r="J527" s="5">
        <v>55.202689999999997</v>
      </c>
      <c r="K527" s="5">
        <v>56.400210000000001</v>
      </c>
      <c r="L527" s="5">
        <v>69.75461</v>
      </c>
      <c r="M527" s="5">
        <v>75.331649999999996</v>
      </c>
      <c r="N527" s="5">
        <v>42.521810000000002</v>
      </c>
      <c r="O527" s="5">
        <v>53.760590000000001</v>
      </c>
      <c r="P527" s="5">
        <v>57.512990000000002</v>
      </c>
      <c r="Q527" s="5">
        <v>80.974230000000006</v>
      </c>
      <c r="R527" s="5">
        <v>56.139886388888897</v>
      </c>
    </row>
    <row r="528" spans="1:18">
      <c r="A528" s="3" t="s">
        <v>4</v>
      </c>
      <c r="B528" s="2">
        <f>(B522-1341.569)/(36481.18-1341.569)</f>
        <v>0.2465490485612461</v>
      </c>
      <c r="C528" s="2">
        <f t="shared" ref="C528:R528" si="224">(C522-1341.569)/(36481.18-1341.569)</f>
        <v>0.15010137707393986</v>
      </c>
      <c r="D528" s="2">
        <f t="shared" si="224"/>
        <v>0.2127438156809115</v>
      </c>
      <c r="E528" s="2">
        <f t="shared" si="224"/>
        <v>9.7909943108511008E-3</v>
      </c>
      <c r="F528" s="2">
        <f t="shared" si="224"/>
        <v>0.14849669318245615</v>
      </c>
      <c r="G528" s="2">
        <f t="shared" si="224"/>
        <v>0.16413172093519751</v>
      </c>
      <c r="H528" s="2">
        <f t="shared" si="224"/>
        <v>4.3867681701189309E-10</v>
      </c>
      <c r="I528" s="2">
        <f t="shared" si="224"/>
        <v>3.6098292398124107E-2</v>
      </c>
      <c r="J528" s="2">
        <f t="shared" si="224"/>
        <v>0.21419741613765736</v>
      </c>
      <c r="K528" s="2">
        <f t="shared" si="224"/>
        <v>0.2707745464125787</v>
      </c>
      <c r="L528" s="2">
        <f t="shared" si="224"/>
        <v>0.10311483075027666</v>
      </c>
      <c r="M528" s="2">
        <f t="shared" si="224"/>
        <v>3.1749819515907024E-2</v>
      </c>
      <c r="N528" s="2">
        <f t="shared" si="224"/>
        <v>0.11301446612713711</v>
      </c>
      <c r="O528" s="2">
        <f t="shared" si="224"/>
        <v>0.10071921513184995</v>
      </c>
      <c r="P528" s="2">
        <f t="shared" si="224"/>
        <v>0.19661536002624466</v>
      </c>
      <c r="Q528" s="2">
        <f t="shared" si="224"/>
        <v>0.21019269159982981</v>
      </c>
      <c r="R528" s="2">
        <f t="shared" si="224"/>
        <v>0.24536578705958456</v>
      </c>
    </row>
    <row r="529" spans="1:18">
      <c r="A529" s="3" t="s">
        <v>5</v>
      </c>
      <c r="B529" s="2">
        <f>(B523-3455)/(51063-3455)</f>
        <v>0.4051629978154932</v>
      </c>
      <c r="C529" s="2">
        <f t="shared" ref="C529:R529" si="225">(C523-3455)/(51063-3455)</f>
        <v>0.18383464963871618</v>
      </c>
      <c r="D529" s="2">
        <f t="shared" si="225"/>
        <v>0.42129474037976811</v>
      </c>
      <c r="E529" s="2">
        <f t="shared" si="225"/>
        <v>0</v>
      </c>
      <c r="F529" s="2">
        <f t="shared" si="225"/>
        <v>0.22099227020668796</v>
      </c>
      <c r="G529" s="2">
        <f t="shared" si="225"/>
        <v>0.24735338598554865</v>
      </c>
      <c r="H529" s="2">
        <f t="shared" si="225"/>
        <v>9.095110065535204E-3</v>
      </c>
      <c r="I529" s="2">
        <f t="shared" si="225"/>
        <v>8.294824399260628E-2</v>
      </c>
      <c r="J529" s="2">
        <f t="shared" si="225"/>
        <v>0.28268358259116116</v>
      </c>
      <c r="K529" s="2">
        <f t="shared" si="225"/>
        <v>0.30219710972945724</v>
      </c>
      <c r="L529" s="2">
        <f t="shared" si="225"/>
        <v>0.14661401445135272</v>
      </c>
      <c r="M529" s="2">
        <f t="shared" si="225"/>
        <v>5.5053772475214251E-2</v>
      </c>
      <c r="N529" s="2">
        <f t="shared" si="225"/>
        <v>0.17394135439421946</v>
      </c>
      <c r="O529" s="2">
        <f t="shared" si="225"/>
        <v>0.1732902033271719</v>
      </c>
      <c r="P529" s="2">
        <f t="shared" si="225"/>
        <v>0.26924046378759875</v>
      </c>
      <c r="Q529" s="2">
        <f t="shared" si="225"/>
        <v>0.36510670475550328</v>
      </c>
      <c r="R529" s="2">
        <f t="shared" si="225"/>
        <v>0.47597042513863214</v>
      </c>
    </row>
    <row r="530" spans="1:18">
      <c r="A530" s="3" t="s">
        <v>6</v>
      </c>
      <c r="B530" s="2">
        <f>(B524-8.766)/(43.519-8.766)</f>
        <v>0.23292256408341361</v>
      </c>
      <c r="C530" s="2">
        <f t="shared" ref="C530:R530" si="226">(C524-8.766)/(43.519-8.766)</f>
        <v>4.9872286356872979E-6</v>
      </c>
      <c r="D530" s="2">
        <f t="shared" si="226"/>
        <v>0.51074724288871332</v>
      </c>
      <c r="E530" s="2">
        <f t="shared" si="226"/>
        <v>0.99999603945533844</v>
      </c>
      <c r="F530" s="2">
        <f t="shared" si="226"/>
        <v>0.31225025085834435</v>
      </c>
      <c r="G530" s="2">
        <f t="shared" si="226"/>
        <v>0.16432131493852131</v>
      </c>
      <c r="H530" s="2">
        <f t="shared" si="226"/>
        <v>0.40661712378914633</v>
      </c>
      <c r="I530" s="2">
        <f t="shared" si="226"/>
        <v>0.67438918802264547</v>
      </c>
      <c r="J530" s="2">
        <f t="shared" si="226"/>
        <v>0.88720102227120456</v>
      </c>
      <c r="K530" s="2">
        <f t="shared" si="226"/>
        <v>0.23915685757374797</v>
      </c>
      <c r="L530" s="2">
        <f t="shared" si="226"/>
        <v>0.28870694484922843</v>
      </c>
      <c r="M530" s="2">
        <f t="shared" si="226"/>
        <v>0.25864360085741739</v>
      </c>
      <c r="N530" s="2">
        <f t="shared" si="226"/>
        <v>0.76667743945822353</v>
      </c>
      <c r="O530" s="2">
        <f t="shared" si="226"/>
        <v>0.37229766238718126</v>
      </c>
      <c r="P530" s="2">
        <f t="shared" si="226"/>
        <v>0.38940359105360467</v>
      </c>
      <c r="Q530" s="2">
        <f t="shared" si="226"/>
        <v>0.18675858742711332</v>
      </c>
      <c r="R530" s="2">
        <f t="shared" si="226"/>
        <v>0.40153087636996893</v>
      </c>
    </row>
    <row r="531" spans="1:18">
      <c r="A531" s="3" t="s">
        <v>3</v>
      </c>
      <c r="B531" s="2">
        <f t="shared" ref="B531:R531" si="227">(B525-16.015)/(179.906-16.015)</f>
        <v>1.2855375023451946E-2</v>
      </c>
      <c r="C531" s="2">
        <f t="shared" si="227"/>
        <v>0.45582202716367143</v>
      </c>
      <c r="D531" s="2">
        <f t="shared" si="227"/>
        <v>0.23672514001570286</v>
      </c>
      <c r="E531" s="2">
        <f t="shared" si="227"/>
        <v>0.15377441003366052</v>
      </c>
      <c r="F531" s="2">
        <f t="shared" si="227"/>
        <v>0.12143764727860575</v>
      </c>
      <c r="G531" s="2">
        <f t="shared" si="227"/>
        <v>0.37023583098441254</v>
      </c>
      <c r="H531" s="2">
        <f t="shared" si="227"/>
        <v>2.2680341098902063E-2</v>
      </c>
      <c r="I531" s="2">
        <f t="shared" si="227"/>
        <v>0.21881678163497512</v>
      </c>
      <c r="J531" s="2">
        <f t="shared" si="227"/>
        <v>0.99999910680011206</v>
      </c>
      <c r="K531" s="2">
        <f t="shared" si="227"/>
        <v>0.1365362995694378</v>
      </c>
      <c r="L531" s="2">
        <f t="shared" si="227"/>
        <v>7.2784442063773783E-2</v>
      </c>
      <c r="M531" s="2">
        <f t="shared" si="227"/>
        <v>0.3535554518327283</v>
      </c>
      <c r="N531" s="2">
        <f t="shared" si="227"/>
        <v>0.40619397949908986</v>
      </c>
      <c r="O531" s="2">
        <f t="shared" si="227"/>
        <v>0.46853937093904124</v>
      </c>
      <c r="P531" s="2">
        <f t="shared" si="227"/>
        <v>0.15699978852372112</v>
      </c>
      <c r="Q531" s="2">
        <f t="shared" si="227"/>
        <v>0.14725539364284995</v>
      </c>
      <c r="R531" s="2">
        <f t="shared" si="227"/>
        <v>0.22666040306699201</v>
      </c>
    </row>
    <row r="532" spans="1:18">
      <c r="A532" s="3" t="s">
        <v>7</v>
      </c>
      <c r="B532" s="2">
        <f t="shared" ref="B532:R532" si="228">(B526-59.499)/(79.687-59.499)</f>
        <v>0.63896567388499392</v>
      </c>
      <c r="C532" s="2">
        <f t="shared" si="228"/>
        <v>0.58003667960198568</v>
      </c>
      <c r="D532" s="2">
        <f t="shared" si="228"/>
        <v>0.75622562546212035</v>
      </c>
      <c r="E532" s="2">
        <f t="shared" si="228"/>
        <v>0.53219372049080138</v>
      </c>
      <c r="F532" s="2">
        <f t="shared" si="228"/>
        <v>0.47752830708414168</v>
      </c>
      <c r="G532" s="2">
        <f t="shared" si="228"/>
        <v>0.84686145355608511</v>
      </c>
      <c r="H532" s="2">
        <f t="shared" si="228"/>
        <v>8.4570887319784626E-6</v>
      </c>
      <c r="I532" s="2">
        <f t="shared" si="228"/>
        <v>0.20416137091824738</v>
      </c>
      <c r="J532" s="2">
        <f t="shared" si="228"/>
        <v>0.56741024612544488</v>
      </c>
      <c r="K532" s="2">
        <f t="shared" si="228"/>
        <v>0.63717156291832477</v>
      </c>
      <c r="L532" s="2">
        <f t="shared" si="228"/>
        <v>0.39560086407283818</v>
      </c>
      <c r="M532" s="2">
        <f t="shared" si="228"/>
        <v>0.31473901424173795</v>
      </c>
      <c r="N532" s="2">
        <f t="shared" si="228"/>
        <v>0.63440609490303435</v>
      </c>
      <c r="O532" s="2">
        <f t="shared" si="228"/>
        <v>0.56739937272564722</v>
      </c>
      <c r="P532" s="2">
        <f t="shared" si="228"/>
        <v>0.29347426870345639</v>
      </c>
      <c r="Q532" s="2">
        <f t="shared" si="228"/>
        <v>0.68147100185089482</v>
      </c>
      <c r="R532" s="2">
        <f t="shared" si="228"/>
        <v>0.62533043053830661</v>
      </c>
    </row>
    <row r="533" spans="1:18">
      <c r="A533" s="4" t="s">
        <v>8</v>
      </c>
      <c r="B533" s="2">
        <f>(B527-42.522)/(141.266-42.522)</f>
        <v>0.28155634772745686</v>
      </c>
      <c r="C533" s="2">
        <f t="shared" ref="C533:R533" si="229">(C527-42.522)/(141.266-42.522)</f>
        <v>0.48542291177185448</v>
      </c>
      <c r="D533" s="2">
        <f t="shared" si="229"/>
        <v>0.37411848371096573</v>
      </c>
      <c r="E533" s="2">
        <f t="shared" si="229"/>
        <v>6.3084339301628448E-2</v>
      </c>
      <c r="F533" s="2">
        <f t="shared" si="229"/>
        <v>0.20083083529125823</v>
      </c>
      <c r="G533" s="2">
        <f t="shared" si="229"/>
        <v>6.7315178643765725E-2</v>
      </c>
      <c r="H533" s="2">
        <f t="shared" si="229"/>
        <v>2.650662318723164E-2</v>
      </c>
      <c r="I533" s="2">
        <f t="shared" si="229"/>
        <v>1.5801567690188784E-2</v>
      </c>
      <c r="J533" s="2">
        <f t="shared" si="229"/>
        <v>0.12841985335817871</v>
      </c>
      <c r="K533" s="2">
        <f t="shared" si="229"/>
        <v>0.14054737503038162</v>
      </c>
      <c r="L533" s="2">
        <f t="shared" si="229"/>
        <v>0.27579002268492264</v>
      </c>
      <c r="M533" s="2">
        <f t="shared" si="229"/>
        <v>0.33226980879850926</v>
      </c>
      <c r="N533" s="2">
        <f t="shared" si="229"/>
        <v>-1.9241675443202599E-6</v>
      </c>
      <c r="O533" s="2">
        <f t="shared" si="229"/>
        <v>0.11381542169650816</v>
      </c>
      <c r="P533" s="2">
        <f t="shared" si="229"/>
        <v>0.15181671797780122</v>
      </c>
      <c r="Q533" s="2">
        <f t="shared" si="229"/>
        <v>0.38941333144292317</v>
      </c>
      <c r="R533" s="2">
        <f t="shared" si="229"/>
        <v>0.13791102638022459</v>
      </c>
    </row>
    <row r="534" spans="1:18">
      <c r="A534" s="3" t="s">
        <v>65</v>
      </c>
      <c r="B534" s="2">
        <f t="shared" ref="B534:R534" si="230">(B528+B529+B530+B531+B532+B533)/6</f>
        <v>0.30300200118267595</v>
      </c>
      <c r="C534" s="2">
        <f t="shared" si="230"/>
        <v>0.30920377207980054</v>
      </c>
      <c r="D534" s="2">
        <f t="shared" si="230"/>
        <v>0.41864250802303032</v>
      </c>
      <c r="E534" s="2">
        <f t="shared" si="230"/>
        <v>0.29313991726537997</v>
      </c>
      <c r="F534" s="2">
        <f t="shared" si="230"/>
        <v>0.2469226673169157</v>
      </c>
      <c r="G534" s="2">
        <f t="shared" si="230"/>
        <v>0.31003648084058849</v>
      </c>
      <c r="H534" s="2">
        <f t="shared" si="230"/>
        <v>7.7484609278037339E-2</v>
      </c>
      <c r="I534" s="2">
        <f t="shared" si="230"/>
        <v>0.20536924077613117</v>
      </c>
      <c r="J534" s="2">
        <f t="shared" si="230"/>
        <v>0.51331853788062654</v>
      </c>
      <c r="K534" s="2">
        <f t="shared" si="230"/>
        <v>0.28773062520565468</v>
      </c>
      <c r="L534" s="2">
        <f t="shared" si="230"/>
        <v>0.21376851981206538</v>
      </c>
      <c r="M534" s="2">
        <f t="shared" si="230"/>
        <v>0.22433524462025234</v>
      </c>
      <c r="N534" s="2">
        <f t="shared" si="230"/>
        <v>0.34903856836902669</v>
      </c>
      <c r="O534" s="2">
        <f t="shared" si="230"/>
        <v>0.29934354103456662</v>
      </c>
      <c r="P534" s="2">
        <f t="shared" si="230"/>
        <v>0.2429250316787378</v>
      </c>
      <c r="Q534" s="2">
        <f t="shared" si="230"/>
        <v>0.33003295178651904</v>
      </c>
      <c r="R534" s="2">
        <f t="shared" si="230"/>
        <v>0.35212815809228482</v>
      </c>
    </row>
    <row r="536" spans="1:18">
      <c r="A536" s="1" t="s">
        <v>9</v>
      </c>
      <c r="B536" s="2" t="s">
        <v>28</v>
      </c>
      <c r="C536" s="2" t="s">
        <v>29</v>
      </c>
      <c r="D536" s="2" t="s">
        <v>30</v>
      </c>
      <c r="E536" s="2" t="s">
        <v>31</v>
      </c>
      <c r="F536" s="2" t="s">
        <v>32</v>
      </c>
      <c r="G536" s="2" t="s">
        <v>33</v>
      </c>
      <c r="H536" s="2" t="s">
        <v>34</v>
      </c>
      <c r="I536" s="2" t="s">
        <v>35</v>
      </c>
      <c r="J536" s="2" t="s">
        <v>36</v>
      </c>
      <c r="K536" s="2" t="s">
        <v>37</v>
      </c>
      <c r="L536" s="2" t="s">
        <v>38</v>
      </c>
      <c r="M536" s="2" t="s">
        <v>39</v>
      </c>
      <c r="N536" s="2" t="s">
        <v>40</v>
      </c>
      <c r="O536" s="2" t="s">
        <v>41</v>
      </c>
      <c r="P536" s="2" t="s">
        <v>42</v>
      </c>
      <c r="Q536" s="2" t="s">
        <v>43</v>
      </c>
      <c r="R536" s="2" t="s">
        <v>44</v>
      </c>
    </row>
    <row r="537" spans="1:18">
      <c r="B537" s="2">
        <v>1994</v>
      </c>
      <c r="C537" s="2">
        <v>1994</v>
      </c>
      <c r="D537" s="2">
        <v>1994</v>
      </c>
      <c r="E537" s="2">
        <v>1994</v>
      </c>
      <c r="F537" s="2">
        <v>1994</v>
      </c>
      <c r="G537" s="2">
        <v>1994</v>
      </c>
      <c r="H537" s="2">
        <v>1994</v>
      </c>
      <c r="I537" s="2">
        <v>1994</v>
      </c>
      <c r="J537" s="2">
        <v>1994</v>
      </c>
      <c r="K537" s="2">
        <v>1994</v>
      </c>
      <c r="L537" s="2">
        <v>1994</v>
      </c>
      <c r="M537" s="2">
        <v>1994</v>
      </c>
      <c r="N537" s="2">
        <v>1994</v>
      </c>
      <c r="O537" s="2">
        <v>1994</v>
      </c>
      <c r="P537" s="2">
        <v>1994</v>
      </c>
      <c r="Q537" s="2">
        <v>1994</v>
      </c>
      <c r="R537" s="2">
        <v>1994</v>
      </c>
    </row>
    <row r="538" spans="1:18">
      <c r="A538" s="1" t="s">
        <v>0</v>
      </c>
      <c r="B538" s="3">
        <v>24727.156934645609</v>
      </c>
      <c r="C538" s="3">
        <v>26138.668069992233</v>
      </c>
      <c r="D538" s="3">
        <v>27243.911043365693</v>
      </c>
      <c r="E538" s="3">
        <v>27362.265628567977</v>
      </c>
      <c r="F538" s="3">
        <v>21152.897054144949</v>
      </c>
      <c r="G538" s="3">
        <v>24823.863695368404</v>
      </c>
      <c r="H538" s="3">
        <v>24554.230946454965</v>
      </c>
      <c r="I538" s="3">
        <v>26730.643867426446</v>
      </c>
      <c r="J538" s="3">
        <v>27596.858765513833</v>
      </c>
      <c r="K538" s="3">
        <v>27740.677123183665</v>
      </c>
      <c r="L538" s="3">
        <v>20050.604653902003</v>
      </c>
      <c r="M538" s="3">
        <v>36481.177487505229</v>
      </c>
      <c r="N538" s="3">
        <v>20505.632300633439</v>
      </c>
      <c r="O538" s="3">
        <v>23831.555602813554</v>
      </c>
      <c r="P538" s="3">
        <v>33106.108064529995</v>
      </c>
      <c r="Q538" s="3">
        <v>24089.682495465779</v>
      </c>
      <c r="R538" s="3">
        <v>34592.492832390984</v>
      </c>
    </row>
    <row r="539" spans="1:18">
      <c r="A539" s="1" t="s">
        <v>1</v>
      </c>
      <c r="B539" s="2">
        <v>38767</v>
      </c>
      <c r="C539" s="2">
        <v>47539</v>
      </c>
      <c r="D539" s="2">
        <v>42308</v>
      </c>
      <c r="E539" s="2">
        <v>39676</v>
      </c>
      <c r="F539" s="2">
        <v>38890</v>
      </c>
      <c r="G539" s="2">
        <v>45925</v>
      </c>
      <c r="H539" s="2">
        <v>43816</v>
      </c>
      <c r="I539" s="2">
        <v>38545</v>
      </c>
      <c r="J539" s="2">
        <v>36716</v>
      </c>
      <c r="K539" s="2">
        <v>40063</v>
      </c>
      <c r="L539" s="2">
        <v>32176</v>
      </c>
      <c r="M539" s="2">
        <v>43467</v>
      </c>
      <c r="N539" s="2">
        <v>37354</v>
      </c>
      <c r="O539" s="2">
        <v>37095</v>
      </c>
      <c r="P539" s="2">
        <v>37193</v>
      </c>
      <c r="Q539" s="2">
        <v>38929</v>
      </c>
      <c r="R539" s="2">
        <v>51063</v>
      </c>
    </row>
    <row r="540" spans="1:18">
      <c r="A540" s="1" t="s">
        <v>2</v>
      </c>
      <c r="B540" s="2">
        <v>23.256212679304468</v>
      </c>
      <c r="C540" s="2">
        <v>24.579814616065526</v>
      </c>
      <c r="D540" s="2">
        <v>20.054535572007321</v>
      </c>
      <c r="E540" s="2">
        <v>22.873447328150508</v>
      </c>
      <c r="F540" s="2">
        <v>23.203701189991403</v>
      </c>
      <c r="G540" s="2">
        <v>19.047312247707453</v>
      </c>
      <c r="H540" s="2">
        <v>22.430309170949194</v>
      </c>
      <c r="I540" s="2">
        <v>26.02580998111112</v>
      </c>
      <c r="J540" s="2">
        <v>30.037011082749665</v>
      </c>
      <c r="K540" s="2">
        <v>26.447346646072372</v>
      </c>
      <c r="L540" s="2">
        <v>23.826111561016798</v>
      </c>
      <c r="M540" s="2">
        <v>27.2357866971929</v>
      </c>
      <c r="N540" s="2">
        <v>21.076756887716694</v>
      </c>
      <c r="O540" s="2">
        <v>20.97685673911645</v>
      </c>
      <c r="P540" s="2">
        <v>28.518760846360376</v>
      </c>
      <c r="Q540" s="2">
        <v>16.231040409127445</v>
      </c>
      <c r="R540" s="2">
        <v>16.851843907740268</v>
      </c>
    </row>
    <row r="541" spans="1:18">
      <c r="A541" s="1" t="s">
        <v>3</v>
      </c>
      <c r="B541" s="2">
        <v>68.27044329338375</v>
      </c>
      <c r="C541" s="2">
        <v>123.35569880860288</v>
      </c>
      <c r="D541" s="2">
        <v>66.825663890160897</v>
      </c>
      <c r="E541" s="2">
        <v>70.136394576972094</v>
      </c>
      <c r="F541" s="2">
        <v>63.890774173114337</v>
      </c>
      <c r="G541" s="2">
        <v>42.6708421065359</v>
      </c>
      <c r="H541" s="2">
        <v>42.140610468528749</v>
      </c>
      <c r="I541" s="2">
        <v>130.97024754971687</v>
      </c>
      <c r="J541" s="2">
        <v>16.014938373360089</v>
      </c>
      <c r="K541" s="2">
        <v>107.94282325684024</v>
      </c>
      <c r="L541" s="2">
        <v>58.784894852322644</v>
      </c>
      <c r="M541" s="2">
        <v>70.170242157834423</v>
      </c>
      <c r="N541" s="2">
        <v>41.636528152066496</v>
      </c>
      <c r="O541" s="2">
        <v>67.703629479062172</v>
      </c>
      <c r="P541" s="2">
        <v>66.573900813864029</v>
      </c>
      <c r="Q541" s="2">
        <v>53.304751748589794</v>
      </c>
      <c r="R541" s="2">
        <v>21.93671085181531</v>
      </c>
    </row>
    <row r="542" spans="1:18">
      <c r="A542" s="6" t="s">
        <v>27</v>
      </c>
      <c r="B542" s="2">
        <v>76.457073170731732</v>
      </c>
      <c r="C542" s="2">
        <v>76.570731707317094</v>
      </c>
      <c r="D542" s="2">
        <v>77.861951219512207</v>
      </c>
      <c r="E542" s="2">
        <v>75.375121951219526</v>
      </c>
      <c r="F542" s="2">
        <v>76.395609756097556</v>
      </c>
      <c r="G542" s="2">
        <v>77.648780487804885</v>
      </c>
      <c r="H542" s="2">
        <v>77.749756097560976</v>
      </c>
      <c r="I542" s="2">
        <v>75.43763414634148</v>
      </c>
      <c r="J542" s="2">
        <v>79.687073170731708</v>
      </c>
      <c r="K542" s="2">
        <v>77.375121951219512</v>
      </c>
      <c r="L542" s="2">
        <v>76.8829268292683</v>
      </c>
      <c r="M542" s="2">
        <v>77.689756097560988</v>
      </c>
      <c r="N542" s="2">
        <v>77.901463414634151</v>
      </c>
      <c r="O542" s="2">
        <v>78.65024390243903</v>
      </c>
      <c r="P542" s="2">
        <v>78.350000000000009</v>
      </c>
      <c r="Q542" s="2">
        <v>76.885365853658541</v>
      </c>
      <c r="R542" s="2">
        <v>75.574390243902457</v>
      </c>
    </row>
    <row r="543" spans="1:18">
      <c r="A543" s="6" t="s">
        <v>47</v>
      </c>
      <c r="B543" s="2">
        <v>105.43558</v>
      </c>
      <c r="C543" s="2">
        <v>141.26606000000001</v>
      </c>
      <c r="D543" s="2">
        <v>105.24397</v>
      </c>
      <c r="E543" s="2">
        <v>114.14896</v>
      </c>
      <c r="F543" s="2">
        <v>117.31966</v>
      </c>
      <c r="G543" s="2">
        <v>112.68403000000001</v>
      </c>
      <c r="H543" s="2">
        <v>86.617689999999996</v>
      </c>
      <c r="I543" s="2">
        <v>113.77954</v>
      </c>
      <c r="J543" s="2">
        <v>101.06205</v>
      </c>
      <c r="K543" s="2">
        <v>140.79390000000001</v>
      </c>
      <c r="L543" s="2">
        <v>109.42031</v>
      </c>
      <c r="M543" s="2">
        <v>124.78742</v>
      </c>
      <c r="N543" s="2">
        <v>113.77356</v>
      </c>
      <c r="O543" s="2">
        <v>126.78773</v>
      </c>
      <c r="P543" s="2">
        <v>101.45050999999999</v>
      </c>
      <c r="Q543" s="2">
        <v>101.90903</v>
      </c>
      <c r="R543" s="2">
        <v>96.682540000000003</v>
      </c>
    </row>
    <row r="544" spans="1:18">
      <c r="A544" s="3" t="s">
        <v>4</v>
      </c>
      <c r="B544" s="2">
        <f t="shared" ref="B544:R544" si="231">(B538-1341.569)/(36481.18-1341.569)</f>
        <v>0.6655050317616098</v>
      </c>
      <c r="C544" s="2">
        <f t="shared" si="231"/>
        <v>0.70567369314339412</v>
      </c>
      <c r="D544" s="2">
        <f t="shared" si="231"/>
        <v>0.73712660175338018</v>
      </c>
      <c r="E544" s="2">
        <f t="shared" si="231"/>
        <v>0.74049472626683255</v>
      </c>
      <c r="F544" s="2">
        <f t="shared" si="231"/>
        <v>0.56378905429957527</v>
      </c>
      <c r="G544" s="2">
        <f t="shared" si="231"/>
        <v>0.66825710436488339</v>
      </c>
      <c r="H544" s="2">
        <f t="shared" si="231"/>
        <v>0.66058391899827718</v>
      </c>
      <c r="I544" s="2">
        <f t="shared" si="231"/>
        <v>0.72252008900799869</v>
      </c>
      <c r="J544" s="2">
        <f t="shared" si="231"/>
        <v>0.74717075739722427</v>
      </c>
      <c r="K544" s="2">
        <f t="shared" si="231"/>
        <v>0.75126352773750593</v>
      </c>
      <c r="L544" s="2">
        <f t="shared" si="231"/>
        <v>0.53242011284365109</v>
      </c>
      <c r="M544" s="2">
        <f t="shared" si="231"/>
        <v>0.99999992849964181</v>
      </c>
      <c r="N544" s="2">
        <f t="shared" si="231"/>
        <v>0.54536925012156345</v>
      </c>
      <c r="O544" s="2">
        <f t="shared" si="231"/>
        <v>0.64001808679138639</v>
      </c>
      <c r="P544" s="2">
        <f t="shared" si="231"/>
        <v>0.90395249578972281</v>
      </c>
      <c r="Q544" s="2">
        <f t="shared" si="231"/>
        <v>0.64736383949912768</v>
      </c>
      <c r="R544" s="2">
        <f t="shared" si="231"/>
        <v>0.94625190450716667</v>
      </c>
    </row>
    <row r="545" spans="1:18">
      <c r="A545" s="3" t="s">
        <v>5</v>
      </c>
      <c r="B545" s="2">
        <f t="shared" ref="B545:R545" si="232">(B539-3455)/(51063-3455)</f>
        <v>0.74172407998655687</v>
      </c>
      <c r="C545" s="2">
        <f t="shared" si="232"/>
        <v>0.92597882708788437</v>
      </c>
      <c r="D545" s="2">
        <f t="shared" si="232"/>
        <v>0.81610233574189217</v>
      </c>
      <c r="E545" s="2">
        <f t="shared" si="232"/>
        <v>0.7608175096622416</v>
      </c>
      <c r="F545" s="2">
        <f t="shared" si="232"/>
        <v>0.74430767938161657</v>
      </c>
      <c r="G545" s="2">
        <f t="shared" si="232"/>
        <v>0.8920769618551504</v>
      </c>
      <c r="H545" s="2">
        <f t="shared" si="232"/>
        <v>0.84777768442278612</v>
      </c>
      <c r="I545" s="2">
        <f t="shared" si="232"/>
        <v>0.73706099815157111</v>
      </c>
      <c r="J545" s="2">
        <f t="shared" si="232"/>
        <v>0.69864308519576546</v>
      </c>
      <c r="K545" s="2">
        <f t="shared" si="232"/>
        <v>0.76894639556377076</v>
      </c>
      <c r="L545" s="2">
        <f t="shared" si="232"/>
        <v>0.60328096118299446</v>
      </c>
      <c r="M545" s="2">
        <f t="shared" si="232"/>
        <v>0.84044698370021842</v>
      </c>
      <c r="N545" s="2">
        <f t="shared" si="232"/>
        <v>0.71204419425306675</v>
      </c>
      <c r="O545" s="2">
        <f t="shared" si="232"/>
        <v>0.70660393211225003</v>
      </c>
      <c r="P545" s="2">
        <f t="shared" si="232"/>
        <v>0.70866240967904559</v>
      </c>
      <c r="Q545" s="2">
        <f t="shared" si="232"/>
        <v>0.74512686943370865</v>
      </c>
      <c r="R545" s="2">
        <f t="shared" si="232"/>
        <v>1</v>
      </c>
    </row>
    <row r="546" spans="1:18">
      <c r="A546" s="3" t="s">
        <v>6</v>
      </c>
      <c r="B546" s="2">
        <f t="shared" ref="B546:R546" si="233">(B540-8.766)/(43.519-8.766)</f>
        <v>0.41694854197636083</v>
      </c>
      <c r="C546" s="2">
        <f t="shared" si="233"/>
        <v>0.45503451834562558</v>
      </c>
      <c r="D546" s="2">
        <f t="shared" si="233"/>
        <v>0.32482190233957703</v>
      </c>
      <c r="E546" s="2">
        <f t="shared" si="233"/>
        <v>0.40593466256583627</v>
      </c>
      <c r="F546" s="2">
        <f t="shared" si="233"/>
        <v>0.41543755042705388</v>
      </c>
      <c r="G546" s="2">
        <f t="shared" si="233"/>
        <v>0.29583956054750532</v>
      </c>
      <c r="H546" s="2">
        <f t="shared" si="233"/>
        <v>0.39318358619253574</v>
      </c>
      <c r="I546" s="2">
        <f t="shared" si="233"/>
        <v>0.49664230371798457</v>
      </c>
      <c r="J546" s="2">
        <f t="shared" si="233"/>
        <v>0.61206258690615678</v>
      </c>
      <c r="K546" s="2">
        <f t="shared" si="233"/>
        <v>0.50877180807620548</v>
      </c>
      <c r="L546" s="2">
        <f t="shared" si="233"/>
        <v>0.4333470940930797</v>
      </c>
      <c r="M546" s="2">
        <f t="shared" si="233"/>
        <v>0.53145877182381096</v>
      </c>
      <c r="N546" s="2">
        <f t="shared" si="233"/>
        <v>0.35423580374979696</v>
      </c>
      <c r="O546" s="2">
        <f t="shared" si="233"/>
        <v>0.3513612274945026</v>
      </c>
      <c r="P546" s="2">
        <f t="shared" si="233"/>
        <v>0.56837570415101935</v>
      </c>
      <c r="Q546" s="2">
        <f t="shared" si="233"/>
        <v>0.21480276261408929</v>
      </c>
      <c r="R546" s="2">
        <f t="shared" si="233"/>
        <v>0.23266606933905756</v>
      </c>
    </row>
    <row r="547" spans="1:18">
      <c r="A547" s="3" t="s">
        <v>3</v>
      </c>
      <c r="B547" s="2">
        <f>(B541-16.015)/(179.906-16.015)</f>
        <v>0.3188426655117349</v>
      </c>
      <c r="C547" s="2">
        <f t="shared" ref="C547:R547" si="234">(C541-16.015)/(179.906-16.015)</f>
        <v>0.65495175945355677</v>
      </c>
      <c r="D547" s="2">
        <f t="shared" si="234"/>
        <v>0.31002717592888501</v>
      </c>
      <c r="E547" s="2">
        <f t="shared" si="234"/>
        <v>0.33022798431257411</v>
      </c>
      <c r="F547" s="2">
        <f t="shared" si="234"/>
        <v>0.29211960493934586</v>
      </c>
      <c r="G547" s="2">
        <f t="shared" si="234"/>
        <v>0.16264372117160733</v>
      </c>
      <c r="H547" s="2">
        <f t="shared" si="234"/>
        <v>0.15940845115673677</v>
      </c>
      <c r="I547" s="2">
        <f t="shared" si="234"/>
        <v>0.70141281430778302</v>
      </c>
      <c r="J547" s="2">
        <f t="shared" si="234"/>
        <v>-3.7602211172089427E-7</v>
      </c>
      <c r="K547" s="2">
        <f t="shared" si="234"/>
        <v>0.56090830647711121</v>
      </c>
      <c r="L547" s="2">
        <f t="shared" si="234"/>
        <v>0.26096548835703387</v>
      </c>
      <c r="M547" s="2">
        <f t="shared" si="234"/>
        <v>0.33043450926429407</v>
      </c>
      <c r="N547" s="2">
        <f t="shared" si="234"/>
        <v>0.15633273426891345</v>
      </c>
      <c r="O547" s="2">
        <f t="shared" si="234"/>
        <v>0.31538418509291033</v>
      </c>
      <c r="P547" s="2">
        <f t="shared" si="234"/>
        <v>0.30849101423424119</v>
      </c>
      <c r="Q547" s="2">
        <f t="shared" si="234"/>
        <v>0.22752775776943085</v>
      </c>
      <c r="R547" s="2">
        <f t="shared" si="234"/>
        <v>3.6132007564877319E-2</v>
      </c>
    </row>
    <row r="548" spans="1:18">
      <c r="A548" s="3" t="s">
        <v>7</v>
      </c>
      <c r="B548" s="2">
        <f>(B542-59.499)/(79.687-59.499)</f>
        <v>0.84000758721674929</v>
      </c>
      <c r="C548" s="2">
        <f t="shared" ref="C548:R548" si="235">(C542-59.499)/(79.687-59.499)</f>
        <v>0.84563759200104494</v>
      </c>
      <c r="D548" s="2">
        <f t="shared" si="235"/>
        <v>0.90959734592392549</v>
      </c>
      <c r="E548" s="2">
        <f t="shared" si="235"/>
        <v>0.78641380776795755</v>
      </c>
      <c r="F548" s="2">
        <f t="shared" si="235"/>
        <v>0.83696303527330884</v>
      </c>
      <c r="G548" s="2">
        <f t="shared" si="235"/>
        <v>0.89903806656453766</v>
      </c>
      <c r="H548" s="2">
        <f t="shared" si="235"/>
        <v>0.90403983047161574</v>
      </c>
      <c r="I548" s="2">
        <f t="shared" si="235"/>
        <v>0.78951031039932051</v>
      </c>
      <c r="J548" s="2">
        <f t="shared" si="235"/>
        <v>1.0000036244665995</v>
      </c>
      <c r="K548" s="2">
        <f t="shared" si="235"/>
        <v>0.88548256148303517</v>
      </c>
      <c r="L548" s="2">
        <f t="shared" si="235"/>
        <v>0.86110198282486139</v>
      </c>
      <c r="M548" s="2">
        <f t="shared" si="235"/>
        <v>0.90106776786016396</v>
      </c>
      <c r="N548" s="2">
        <f t="shared" si="235"/>
        <v>0.91155455788756456</v>
      </c>
      <c r="O548" s="2">
        <f t="shared" si="235"/>
        <v>0.94864493275406336</v>
      </c>
      <c r="P548" s="2">
        <f t="shared" si="235"/>
        <v>0.93377253814147065</v>
      </c>
      <c r="Q548" s="2">
        <f t="shared" si="235"/>
        <v>0.86122279837817228</v>
      </c>
      <c r="R548" s="2">
        <f t="shared" si="235"/>
        <v>0.7962844384734723</v>
      </c>
    </row>
    <row r="549" spans="1:18">
      <c r="A549" s="4" t="s">
        <v>8</v>
      </c>
      <c r="B549" s="2">
        <f t="shared" ref="B549:R549" si="236">(B543-42.522)/(141.266-42.522)</f>
        <v>0.63713825650166089</v>
      </c>
      <c r="C549" s="2">
        <f t="shared" si="236"/>
        <v>1.0000006076318564</v>
      </c>
      <c r="D549" s="2">
        <f t="shared" si="236"/>
        <v>0.63519778416916473</v>
      </c>
      <c r="E549" s="2">
        <f t="shared" si="236"/>
        <v>0.72538037754192652</v>
      </c>
      <c r="F549" s="2">
        <f t="shared" si="236"/>
        <v>0.75749068297820632</v>
      </c>
      <c r="G549" s="2">
        <f t="shared" si="236"/>
        <v>0.7105447419590053</v>
      </c>
      <c r="H549" s="2">
        <f t="shared" si="236"/>
        <v>0.44656576602122661</v>
      </c>
      <c r="I549" s="2">
        <f t="shared" si="236"/>
        <v>0.72163918820384032</v>
      </c>
      <c r="J549" s="2">
        <f t="shared" si="236"/>
        <v>0.59284665397391234</v>
      </c>
      <c r="K549" s="2">
        <f t="shared" si="236"/>
        <v>0.99521895001215277</v>
      </c>
      <c r="L549" s="2">
        <f t="shared" si="236"/>
        <v>0.67749240460179871</v>
      </c>
      <c r="M549" s="2">
        <f t="shared" si="236"/>
        <v>0.83311816414161877</v>
      </c>
      <c r="N549" s="2">
        <f t="shared" si="236"/>
        <v>0.72157862756218116</v>
      </c>
      <c r="O549" s="2">
        <f t="shared" si="236"/>
        <v>0.85337569877663444</v>
      </c>
      <c r="P549" s="2">
        <f t="shared" si="236"/>
        <v>0.59678066515433847</v>
      </c>
      <c r="Q549" s="2">
        <f t="shared" si="236"/>
        <v>0.6014241877987524</v>
      </c>
      <c r="R549" s="2">
        <f t="shared" si="236"/>
        <v>0.54849449080450463</v>
      </c>
    </row>
    <row r="550" spans="1:18">
      <c r="A550" s="4" t="s">
        <v>65</v>
      </c>
      <c r="B550" s="2">
        <f>(B544+B545+B546+B547+B548+B549)/6</f>
        <v>0.60336102715911211</v>
      </c>
      <c r="C550" s="2">
        <f t="shared" ref="C550:R550" si="237">(C544+C545+C546+C547+C548+C549)/6</f>
        <v>0.76454616627722694</v>
      </c>
      <c r="D550" s="2">
        <f t="shared" si="237"/>
        <v>0.62214552430947079</v>
      </c>
      <c r="E550" s="2">
        <f t="shared" si="237"/>
        <v>0.62487817801956136</v>
      </c>
      <c r="F550" s="2">
        <f t="shared" si="237"/>
        <v>0.60168460121651768</v>
      </c>
      <c r="G550" s="2">
        <f t="shared" si="237"/>
        <v>0.60473335941044826</v>
      </c>
      <c r="H550" s="2">
        <f t="shared" si="237"/>
        <v>0.56859320621052956</v>
      </c>
      <c r="I550" s="2">
        <f t="shared" si="237"/>
        <v>0.69479761729808309</v>
      </c>
      <c r="J550" s="2">
        <f t="shared" si="237"/>
        <v>0.60845438865292445</v>
      </c>
      <c r="K550" s="2">
        <f t="shared" si="237"/>
        <v>0.74509859155829694</v>
      </c>
      <c r="L550" s="2">
        <f t="shared" si="237"/>
        <v>0.56143467398390323</v>
      </c>
      <c r="M550" s="2">
        <f t="shared" si="237"/>
        <v>0.73942102088162454</v>
      </c>
      <c r="N550" s="2">
        <f t="shared" si="237"/>
        <v>0.56685252797384766</v>
      </c>
      <c r="O550" s="2">
        <f t="shared" si="237"/>
        <v>0.6358980105036246</v>
      </c>
      <c r="P550" s="2">
        <f t="shared" si="237"/>
        <v>0.67000580452497305</v>
      </c>
      <c r="Q550" s="2">
        <f t="shared" si="237"/>
        <v>0.54957803591554688</v>
      </c>
      <c r="R550" s="2">
        <f t="shared" si="237"/>
        <v>0.59330481844817973</v>
      </c>
    </row>
    <row r="552" spans="1:18">
      <c r="A552" s="1" t="s">
        <v>9</v>
      </c>
      <c r="B552" s="2" t="s">
        <v>10</v>
      </c>
      <c r="C552" s="2" t="s">
        <v>11</v>
      </c>
      <c r="D552" s="2" t="s">
        <v>12</v>
      </c>
      <c r="E552" s="2" t="s">
        <v>13</v>
      </c>
      <c r="F552" s="2" t="s">
        <v>14</v>
      </c>
      <c r="G552" s="2" t="s">
        <v>15</v>
      </c>
      <c r="H552" s="2" t="s">
        <v>16</v>
      </c>
      <c r="I552" s="2" t="s">
        <v>17</v>
      </c>
      <c r="J552" s="2" t="s">
        <v>18</v>
      </c>
      <c r="K552" s="2" t="s">
        <v>19</v>
      </c>
      <c r="L552" s="2" t="s">
        <v>20</v>
      </c>
      <c r="M552" s="2" t="s">
        <v>21</v>
      </c>
      <c r="N552" s="2" t="s">
        <v>22</v>
      </c>
      <c r="O552" s="2" t="s">
        <v>23</v>
      </c>
      <c r="P552" s="2" t="s">
        <v>24</v>
      </c>
      <c r="Q552" s="2" t="s">
        <v>25</v>
      </c>
      <c r="R552" s="2" t="s">
        <v>26</v>
      </c>
    </row>
    <row r="553" spans="1:18">
      <c r="B553" s="2">
        <v>1993</v>
      </c>
      <c r="C553" s="2">
        <v>1993</v>
      </c>
      <c r="D553" s="2">
        <v>1993</v>
      </c>
      <c r="E553" s="2">
        <v>1993</v>
      </c>
      <c r="F553" s="2">
        <v>1993</v>
      </c>
      <c r="G553" s="2">
        <v>1993</v>
      </c>
      <c r="H553" s="2">
        <v>1993</v>
      </c>
      <c r="I553" s="2">
        <v>1993</v>
      </c>
      <c r="J553" s="2">
        <v>1993</v>
      </c>
      <c r="K553" s="2">
        <v>1993</v>
      </c>
      <c r="L553" s="2">
        <v>1993</v>
      </c>
      <c r="M553" s="2">
        <v>1993</v>
      </c>
      <c r="N553" s="2">
        <v>1993</v>
      </c>
      <c r="O553" s="2">
        <v>1993</v>
      </c>
      <c r="P553" s="2">
        <v>1993</v>
      </c>
      <c r="Q553" s="2">
        <v>1993</v>
      </c>
      <c r="R553" s="2">
        <v>1993</v>
      </c>
    </row>
    <row r="554" spans="1:18">
      <c r="A554" s="1" t="s">
        <v>0</v>
      </c>
      <c r="B554" s="3">
        <v>9575.2338742327047</v>
      </c>
      <c r="C554" s="3">
        <v>6475.9110697394854</v>
      </c>
      <c r="D554" s="3">
        <v>8488.3909042030264</v>
      </c>
      <c r="E554" s="3">
        <v>1507.3215860462565</v>
      </c>
      <c r="F554" s="3">
        <v>6313.1126264670738</v>
      </c>
      <c r="G554" s="3">
        <v>6954.5921291748018</v>
      </c>
      <c r="H554" s="3">
        <v>1281.4976237452586</v>
      </c>
      <c r="I554" s="3">
        <v>2466.6304983704968</v>
      </c>
      <c r="J554" s="3">
        <v>8328.5362259727972</v>
      </c>
      <c r="K554" s="3">
        <v>10579.935672275755</v>
      </c>
      <c r="L554" s="3">
        <v>4482.6487856371068</v>
      </c>
      <c r="M554" s="3">
        <v>2408.2389460393965</v>
      </c>
      <c r="N554" s="3">
        <v>4910.136961363808</v>
      </c>
      <c r="O554" s="3">
        <v>4816.7819476377899</v>
      </c>
      <c r="P554" s="3">
        <v>8791.9625965176147</v>
      </c>
      <c r="Q554" s="3">
        <v>8195.1211775864285</v>
      </c>
      <c r="R554" s="3">
        <v>10428.224824828312</v>
      </c>
    </row>
    <row r="555" spans="1:18">
      <c r="A555" s="1" t="s">
        <v>1</v>
      </c>
      <c r="B555" s="2">
        <v>21357</v>
      </c>
      <c r="C555" s="2">
        <v>12064</v>
      </c>
      <c r="D555" s="2">
        <v>22644</v>
      </c>
      <c r="E555" s="2">
        <v>3172</v>
      </c>
      <c r="F555" s="2">
        <v>14133</v>
      </c>
      <c r="G555" s="2">
        <v>15145</v>
      </c>
      <c r="H555" s="2">
        <v>3717</v>
      </c>
      <c r="I555" s="2">
        <v>7131</v>
      </c>
      <c r="J555" s="2">
        <v>15919</v>
      </c>
      <c r="K555" s="2">
        <v>17570</v>
      </c>
      <c r="L555" s="2">
        <v>8672</v>
      </c>
      <c r="M555" s="2">
        <v>5976</v>
      </c>
      <c r="N555" s="2">
        <v>10756</v>
      </c>
      <c r="O555" s="2">
        <v>11724</v>
      </c>
      <c r="P555" s="2">
        <v>18576</v>
      </c>
      <c r="Q555" s="2">
        <v>19952</v>
      </c>
      <c r="R555" s="2">
        <v>27720</v>
      </c>
    </row>
    <row r="556" spans="1:18">
      <c r="A556" s="1" t="s">
        <v>2</v>
      </c>
      <c r="B556" s="2">
        <v>16.651980260916467</v>
      </c>
      <c r="C556" s="2">
        <v>7.6540670886584135</v>
      </c>
      <c r="D556" s="2">
        <v>24.935344786219019</v>
      </c>
      <c r="E556" s="2">
        <v>41.806390652472835</v>
      </c>
      <c r="F556" s="2">
        <v>18.953335930653687</v>
      </c>
      <c r="G556" s="2">
        <v>14.417564086301848</v>
      </c>
      <c r="H556" s="2">
        <v>21.302962448131449</v>
      </c>
      <c r="I556" s="2">
        <v>32.464661065004059</v>
      </c>
      <c r="J556" s="2">
        <v>39.084049623271625</v>
      </c>
      <c r="K556" s="2">
        <v>17.071993777314862</v>
      </c>
      <c r="L556" s="2">
        <v>15.486176796899311</v>
      </c>
      <c r="M556" s="2">
        <v>15.534125444146557</v>
      </c>
      <c r="N556" s="2">
        <v>35.77069980663164</v>
      </c>
      <c r="O556" s="2">
        <v>21.719293241492192</v>
      </c>
      <c r="P556" s="2">
        <v>20.946127013259368</v>
      </c>
      <c r="Q556" s="2">
        <v>15.20836044406542</v>
      </c>
      <c r="R556" s="2">
        <v>18.528143973224303</v>
      </c>
    </row>
    <row r="557" spans="1:18">
      <c r="A557" s="1" t="s">
        <v>3</v>
      </c>
      <c r="B557" s="2">
        <v>16.223151501082292</v>
      </c>
      <c r="C557" s="2">
        <v>84.04148544663768</v>
      </c>
      <c r="D557" s="2">
        <v>55.242043399933834</v>
      </c>
      <c r="E557" s="2">
        <v>41.976304800880825</v>
      </c>
      <c r="F557" s="2">
        <v>35.188257811116756</v>
      </c>
      <c r="G557" s="2">
        <v>78.013212065360264</v>
      </c>
      <c r="H557" s="2">
        <v>19.312851590991258</v>
      </c>
      <c r="I557" s="2">
        <v>50.523339011613032</v>
      </c>
      <c r="J557" s="2">
        <v>157.94137239366549</v>
      </c>
      <c r="K557" s="2">
        <v>34.421298346928069</v>
      </c>
      <c r="L557" s="2">
        <v>28.20892432013973</v>
      </c>
      <c r="M557" s="2">
        <v>71.166470097127274</v>
      </c>
      <c r="N557" s="2">
        <v>80.158230280286404</v>
      </c>
      <c r="O557" s="2">
        <v>88.410967905612765</v>
      </c>
      <c r="P557" s="2">
        <v>33.017087775461832</v>
      </c>
      <c r="Q557" s="2">
        <v>38.684966758958453</v>
      </c>
      <c r="R557" s="2">
        <v>54.139540068827785</v>
      </c>
    </row>
    <row r="558" spans="1:18">
      <c r="A558" s="6" t="s">
        <v>27</v>
      </c>
      <c r="B558" s="5">
        <v>72.171756097561001</v>
      </c>
      <c r="C558" s="5">
        <v>71.346829268292694</v>
      </c>
      <c r="D558" s="5">
        <v>74.495195121951227</v>
      </c>
      <c r="E558" s="5">
        <v>70.054634146341471</v>
      </c>
      <c r="F558" s="5">
        <v>68.87490243902441</v>
      </c>
      <c r="G558" s="5">
        <v>76.381585365853667</v>
      </c>
      <c r="H558" s="5">
        <v>59.186487804878055</v>
      </c>
      <c r="I558" s="5">
        <v>63.254536585365869</v>
      </c>
      <c r="J558" s="5">
        <v>70.739853658536603</v>
      </c>
      <c r="K558" s="5">
        <v>71.974195121951226</v>
      </c>
      <c r="L558" s="5">
        <v>66.993390243902454</v>
      </c>
      <c r="M558" s="5">
        <v>65.684390243902456</v>
      </c>
      <c r="N558" s="5">
        <v>72.378853658536585</v>
      </c>
      <c r="O558" s="5">
        <v>70.753658536585377</v>
      </c>
      <c r="P558" s="5">
        <v>64.800219512195127</v>
      </c>
      <c r="Q558" s="5">
        <v>73.047097560975629</v>
      </c>
      <c r="R558" s="5">
        <v>71.769512195121962</v>
      </c>
    </row>
    <row r="559" spans="1:18">
      <c r="A559" s="6" t="s">
        <v>48</v>
      </c>
      <c r="B559" s="5">
        <v>70.653999999999996</v>
      </c>
      <c r="C559" s="5">
        <v>93.24727</v>
      </c>
      <c r="D559" s="5">
        <v>78.358639999999994</v>
      </c>
      <c r="E559" s="5">
        <v>47.075870000000002</v>
      </c>
      <c r="F559" s="5">
        <v>60.774720000000002</v>
      </c>
      <c r="G559" s="5">
        <v>48.019500000000001</v>
      </c>
      <c r="H559" s="5">
        <v>44.702280000000002</v>
      </c>
      <c r="I559" s="5">
        <v>43.024720000000002</v>
      </c>
      <c r="J559" s="5">
        <v>55.082900000000002</v>
      </c>
      <c r="K559" s="5">
        <v>54.718760000000003</v>
      </c>
      <c r="L559" s="5">
        <v>65.906710000000004</v>
      </c>
      <c r="M559" s="5">
        <v>74.297380000000004</v>
      </c>
      <c r="N559" s="5">
        <v>37.54513</v>
      </c>
      <c r="O559" s="5">
        <v>48.834180000000003</v>
      </c>
      <c r="P559" s="5">
        <v>56.159260000000003</v>
      </c>
      <c r="Q559" s="5">
        <v>81.243679999999998</v>
      </c>
      <c r="R559" s="5">
        <v>56.620089999999998</v>
      </c>
    </row>
    <row r="560" spans="1:18">
      <c r="A560" s="3" t="s">
        <v>4</v>
      </c>
      <c r="B560" s="2">
        <f>(B554-1281.498)/(34925.27-1281.498)</f>
        <v>0.24651623112392707</v>
      </c>
      <c r="C560" s="2">
        <f t="shared" ref="C560:R560" si="238">(C554-1281.498)/(34925.27-1281.498)</f>
        <v>0.15439449148982121</v>
      </c>
      <c r="D560" s="2">
        <f t="shared" si="238"/>
        <v>0.21421179837394652</v>
      </c>
      <c r="E560" s="2">
        <f t="shared" si="238"/>
        <v>6.7121958276930554E-3</v>
      </c>
      <c r="F560" s="2">
        <f t="shared" si="238"/>
        <v>0.14955560352944591</v>
      </c>
      <c r="G560" s="2">
        <f t="shared" si="238"/>
        <v>0.16862241633235425</v>
      </c>
      <c r="H560" s="2">
        <f t="shared" si="238"/>
        <v>-1.1183488625118312E-8</v>
      </c>
      <c r="I560" s="2">
        <f t="shared" si="238"/>
        <v>3.5225910411308722E-2</v>
      </c>
      <c r="J560" s="2">
        <f t="shared" si="238"/>
        <v>0.20946040848133193</v>
      </c>
      <c r="K560" s="2">
        <f t="shared" si="238"/>
        <v>0.27637916676750024</v>
      </c>
      <c r="L560" s="2">
        <f t="shared" si="238"/>
        <v>9.5148391376481414E-2</v>
      </c>
      <c r="M560" s="2">
        <f t="shared" si="238"/>
        <v>3.3490327601774159E-2</v>
      </c>
      <c r="N560" s="2">
        <f t="shared" si="238"/>
        <v>0.1078547007560213</v>
      </c>
      <c r="O560" s="2">
        <f t="shared" si="238"/>
        <v>0.10507989257678331</v>
      </c>
      <c r="P560" s="2">
        <f t="shared" si="238"/>
        <v>0.22323491541072196</v>
      </c>
      <c r="Q560" s="2">
        <f t="shared" si="238"/>
        <v>0.20549488855133216</v>
      </c>
      <c r="R560" s="2">
        <f t="shared" si="238"/>
        <v>0.27186983744950816</v>
      </c>
    </row>
    <row r="561" spans="1:18">
      <c r="A561" s="3" t="s">
        <v>5</v>
      </c>
      <c r="B561" s="2">
        <f>(B555-3172)/(50193-3172)</f>
        <v>0.38674209395801878</v>
      </c>
      <c r="C561" s="2">
        <f t="shared" ref="C561:R561" si="239">(C555-3172)/(50193-3172)</f>
        <v>0.18910699474702791</v>
      </c>
      <c r="D561" s="2">
        <f t="shared" si="239"/>
        <v>0.41411284319772018</v>
      </c>
      <c r="E561" s="2">
        <f t="shared" si="239"/>
        <v>0</v>
      </c>
      <c r="F561" s="2">
        <f t="shared" si="239"/>
        <v>0.23310861104612832</v>
      </c>
      <c r="G561" s="2">
        <f t="shared" si="239"/>
        <v>0.25463090959358586</v>
      </c>
      <c r="H561" s="2">
        <f t="shared" si="239"/>
        <v>1.1590565917356075E-2</v>
      </c>
      <c r="I561" s="2">
        <f t="shared" si="239"/>
        <v>8.4196422874885685E-2</v>
      </c>
      <c r="J561" s="2">
        <f t="shared" si="239"/>
        <v>0.27109163990557411</v>
      </c>
      <c r="K561" s="2">
        <f t="shared" si="239"/>
        <v>0.30620361115246381</v>
      </c>
      <c r="L561" s="2">
        <f t="shared" si="239"/>
        <v>0.11696901384487782</v>
      </c>
      <c r="M561" s="2">
        <f t="shared" si="239"/>
        <v>5.9632929967461348E-2</v>
      </c>
      <c r="N561" s="2">
        <f t="shared" si="239"/>
        <v>0.16128963654537334</v>
      </c>
      <c r="O561" s="2">
        <f t="shared" si="239"/>
        <v>0.18187618298207184</v>
      </c>
      <c r="P561" s="2">
        <f t="shared" si="239"/>
        <v>0.32759830713936328</v>
      </c>
      <c r="Q561" s="2">
        <f t="shared" si="239"/>
        <v>0.35686182769400904</v>
      </c>
      <c r="R561" s="2">
        <f t="shared" si="239"/>
        <v>0.52206460942982924</v>
      </c>
    </row>
    <row r="562" spans="1:18">
      <c r="A562" s="3" t="s">
        <v>6</v>
      </c>
      <c r="B562" s="2">
        <f>(B556-7.654)/(41.806-7.654)</f>
        <v>0.26346861855576442</v>
      </c>
      <c r="C562" s="2">
        <f t="shared" ref="C562:R562" si="240">(C556-7.654)/(41.806-7.654)</f>
        <v>1.9644137506892374E-6</v>
      </c>
      <c r="D562" s="2">
        <f t="shared" si="240"/>
        <v>0.50601267235356695</v>
      </c>
      <c r="E562" s="2">
        <f t="shared" si="240"/>
        <v>1.000011438641158</v>
      </c>
      <c r="F562" s="2">
        <f t="shared" si="240"/>
        <v>0.33085429640002595</v>
      </c>
      <c r="G562" s="2">
        <f t="shared" si="240"/>
        <v>0.19804298683245045</v>
      </c>
      <c r="H562" s="2">
        <f t="shared" si="240"/>
        <v>0.39965338627698083</v>
      </c>
      <c r="I562" s="2">
        <f t="shared" si="240"/>
        <v>0.72647754348219895</v>
      </c>
      <c r="J562" s="2">
        <f t="shared" si="240"/>
        <v>0.92029894657038014</v>
      </c>
      <c r="K562" s="2">
        <f t="shared" si="240"/>
        <v>0.27576697637956377</v>
      </c>
      <c r="L562" s="2">
        <f t="shared" si="240"/>
        <v>0.22933288817343966</v>
      </c>
      <c r="M562" s="2">
        <f t="shared" si="240"/>
        <v>0.23073686589794323</v>
      </c>
      <c r="N562" s="2">
        <f t="shared" si="240"/>
        <v>0.82328120773693014</v>
      </c>
      <c r="O562" s="2">
        <f t="shared" si="240"/>
        <v>0.41184391079562521</v>
      </c>
      <c r="P562" s="2">
        <f t="shared" si="240"/>
        <v>0.38920493714158372</v>
      </c>
      <c r="Q562" s="2">
        <f t="shared" si="240"/>
        <v>0.22119818587682771</v>
      </c>
      <c r="R562" s="2">
        <f t="shared" si="240"/>
        <v>0.31840430935887509</v>
      </c>
    </row>
    <row r="563" spans="1:18">
      <c r="A563" s="3" t="s">
        <v>3</v>
      </c>
      <c r="B563" s="2">
        <f t="shared" ref="B563:R563" si="241">(B557-15.924)/(157.941-15.924)</f>
        <v>2.1064485313891457E-3</v>
      </c>
      <c r="C563" s="2">
        <f t="shared" si="241"/>
        <v>0.47964317966608006</v>
      </c>
      <c r="D563" s="2">
        <f t="shared" si="241"/>
        <v>0.27685448502597459</v>
      </c>
      <c r="E563" s="2">
        <f t="shared" si="241"/>
        <v>0.1834449734952916</v>
      </c>
      <c r="F563" s="2">
        <f t="shared" si="241"/>
        <v>0.13564754790705871</v>
      </c>
      <c r="G563" s="2">
        <f t="shared" si="241"/>
        <v>0.43719563196913236</v>
      </c>
      <c r="H563" s="2">
        <f t="shared" si="241"/>
        <v>2.3862295295572069E-2</v>
      </c>
      <c r="I563" s="2">
        <f t="shared" si="241"/>
        <v>0.2436281502328104</v>
      </c>
      <c r="J563" s="2">
        <f t="shared" si="241"/>
        <v>1.0000026221766796</v>
      </c>
      <c r="K563" s="2">
        <f t="shared" si="241"/>
        <v>0.13024707145572761</v>
      </c>
      <c r="L563" s="2">
        <f t="shared" si="241"/>
        <v>8.6503195533913058E-2</v>
      </c>
      <c r="M563" s="2">
        <f t="shared" si="241"/>
        <v>0.38898491094113574</v>
      </c>
      <c r="N563" s="2">
        <f t="shared" si="241"/>
        <v>0.45229958582624896</v>
      </c>
      <c r="O563" s="2">
        <f t="shared" si="241"/>
        <v>0.51041049948677109</v>
      </c>
      <c r="P563" s="2">
        <f t="shared" si="241"/>
        <v>0.12035944834394356</v>
      </c>
      <c r="Q563" s="2">
        <f t="shared" si="241"/>
        <v>0.16026931113147339</v>
      </c>
      <c r="R563" s="2">
        <f t="shared" si="241"/>
        <v>0.26909130645505669</v>
      </c>
    </row>
    <row r="564" spans="1:18">
      <c r="A564" s="3" t="s">
        <v>7</v>
      </c>
      <c r="B564" s="2">
        <f t="shared" ref="B564:R564" si="242">(B558-59.186)/(79.294-59.186)</f>
        <v>0.64580048227377185</v>
      </c>
      <c r="C564" s="2">
        <f t="shared" si="242"/>
        <v>0.60477567477087213</v>
      </c>
      <c r="D564" s="2">
        <f t="shared" si="242"/>
        <v>0.76134847433614627</v>
      </c>
      <c r="E564" s="2">
        <f t="shared" si="242"/>
        <v>0.54051293745481754</v>
      </c>
      <c r="F564" s="2">
        <f t="shared" si="242"/>
        <v>0.48184316883948736</v>
      </c>
      <c r="G564" s="2">
        <f t="shared" si="242"/>
        <v>0.85516139675023217</v>
      </c>
      <c r="H564" s="2">
        <f t="shared" si="242"/>
        <v>2.4259243985251757E-5</v>
      </c>
      <c r="I564" s="2">
        <f t="shared" si="242"/>
        <v>0.20233422445622987</v>
      </c>
      <c r="J564" s="2">
        <f t="shared" si="242"/>
        <v>0.57458989748043587</v>
      </c>
      <c r="K564" s="2">
        <f t="shared" si="242"/>
        <v>0.63597548845987806</v>
      </c>
      <c r="L564" s="2">
        <f t="shared" si="242"/>
        <v>0.38827283886525038</v>
      </c>
      <c r="M564" s="2">
        <f t="shared" si="242"/>
        <v>0.32317437059391568</v>
      </c>
      <c r="N564" s="2">
        <f t="shared" si="242"/>
        <v>0.65609974430756846</v>
      </c>
      <c r="O564" s="2">
        <f t="shared" si="242"/>
        <v>0.57527643408520879</v>
      </c>
      <c r="P564" s="2">
        <f t="shared" si="242"/>
        <v>0.27920327790904759</v>
      </c>
      <c r="Q564" s="2">
        <f t="shared" si="242"/>
        <v>0.68933248264251201</v>
      </c>
      <c r="R564" s="2">
        <f t="shared" si="242"/>
        <v>0.62579630968380562</v>
      </c>
    </row>
    <row r="565" spans="1:18">
      <c r="A565" s="4" t="s">
        <v>8</v>
      </c>
      <c r="B565" s="2">
        <f t="shared" ref="B565:R565" si="243">(B559-37.545)/(138.069-37.545)</f>
        <v>0.32936413194858938</v>
      </c>
      <c r="C565" s="2">
        <f t="shared" si="243"/>
        <v>0.55411911583303497</v>
      </c>
      <c r="D565" s="2">
        <f t="shared" si="243"/>
        <v>0.40600891329433764</v>
      </c>
      <c r="E565" s="2">
        <f t="shared" si="243"/>
        <v>9.4811885718833325E-2</v>
      </c>
      <c r="F565" s="2">
        <f t="shared" si="243"/>
        <v>0.23108630774740363</v>
      </c>
      <c r="G565" s="2">
        <f t="shared" si="243"/>
        <v>0.10419899725438701</v>
      </c>
      <c r="H565" s="2">
        <f t="shared" si="243"/>
        <v>7.1199713501253439E-2</v>
      </c>
      <c r="I565" s="2">
        <f t="shared" si="243"/>
        <v>5.4511559428594175E-2</v>
      </c>
      <c r="J565" s="2">
        <f t="shared" si="243"/>
        <v>0.17446480442481399</v>
      </c>
      <c r="K565" s="2">
        <f t="shared" si="243"/>
        <v>0.17084238589789508</v>
      </c>
      <c r="L565" s="2">
        <f t="shared" si="243"/>
        <v>0.28213869324738378</v>
      </c>
      <c r="M565" s="2">
        <f t="shared" si="243"/>
        <v>0.36560801400660548</v>
      </c>
      <c r="N565" s="2">
        <f t="shared" si="243"/>
        <v>1.2932235088001993E-6</v>
      </c>
      <c r="O565" s="2">
        <f t="shared" si="243"/>
        <v>0.11230333054792889</v>
      </c>
      <c r="P565" s="2">
        <f t="shared" si="243"/>
        <v>0.18517229716286662</v>
      </c>
      <c r="Q565" s="2">
        <f t="shared" si="243"/>
        <v>0.43470892523178545</v>
      </c>
      <c r="R565" s="2">
        <f t="shared" si="243"/>
        <v>0.18975657554414865</v>
      </c>
    </row>
    <row r="566" spans="1:18">
      <c r="A566" s="3" t="s">
        <v>66</v>
      </c>
      <c r="B566" s="2">
        <f t="shared" ref="B566:R566" si="244">(B560+B561+B562+B563+B564+B565)/6</f>
        <v>0.31233300106524348</v>
      </c>
      <c r="C566" s="2">
        <f t="shared" si="244"/>
        <v>0.33034023682009783</v>
      </c>
      <c r="D566" s="2">
        <f t="shared" si="244"/>
        <v>0.42975819776361535</v>
      </c>
      <c r="E566" s="2">
        <f t="shared" si="244"/>
        <v>0.30424890518963227</v>
      </c>
      <c r="F566" s="2">
        <f t="shared" si="244"/>
        <v>0.26034925591159164</v>
      </c>
      <c r="G566" s="2">
        <f t="shared" si="244"/>
        <v>0.33630872312202365</v>
      </c>
      <c r="H566" s="2">
        <f t="shared" si="244"/>
        <v>8.4388368175276507E-2</v>
      </c>
      <c r="I566" s="2">
        <f t="shared" si="244"/>
        <v>0.22439563514767127</v>
      </c>
      <c r="J566" s="2">
        <f t="shared" si="244"/>
        <v>0.52498471983986927</v>
      </c>
      <c r="K566" s="2">
        <f t="shared" si="244"/>
        <v>0.29923578335217144</v>
      </c>
      <c r="L566" s="2">
        <f t="shared" si="244"/>
        <v>0.19972750350689103</v>
      </c>
      <c r="M566" s="2">
        <f t="shared" si="244"/>
        <v>0.23360456983480593</v>
      </c>
      <c r="N566" s="2">
        <f t="shared" si="244"/>
        <v>0.36680436139927508</v>
      </c>
      <c r="O566" s="2">
        <f t="shared" si="244"/>
        <v>0.31613170841239818</v>
      </c>
      <c r="P566" s="2">
        <f t="shared" si="244"/>
        <v>0.25412886385125449</v>
      </c>
      <c r="Q566" s="2">
        <f t="shared" si="244"/>
        <v>0.34464427018798993</v>
      </c>
      <c r="R566" s="2">
        <f t="shared" si="244"/>
        <v>0.36616382465353725</v>
      </c>
    </row>
    <row r="568" spans="1:18">
      <c r="A568" s="1" t="s">
        <v>9</v>
      </c>
      <c r="B568" s="2" t="s">
        <v>28</v>
      </c>
      <c r="C568" s="2" t="s">
        <v>29</v>
      </c>
      <c r="D568" s="2" t="s">
        <v>30</v>
      </c>
      <c r="E568" s="2" t="s">
        <v>31</v>
      </c>
      <c r="F568" s="2" t="s">
        <v>32</v>
      </c>
      <c r="G568" s="2" t="s">
        <v>33</v>
      </c>
      <c r="H568" s="2" t="s">
        <v>34</v>
      </c>
      <c r="I568" s="2" t="s">
        <v>35</v>
      </c>
      <c r="J568" s="2" t="s">
        <v>36</v>
      </c>
      <c r="K568" s="2" t="s">
        <v>37</v>
      </c>
      <c r="L568" s="2" t="s">
        <v>38</v>
      </c>
      <c r="M568" s="2" t="s">
        <v>39</v>
      </c>
      <c r="N568" s="2" t="s">
        <v>40</v>
      </c>
      <c r="O568" s="2" t="s">
        <v>41</v>
      </c>
      <c r="P568" s="2" t="s">
        <v>42</v>
      </c>
      <c r="Q568" s="2" t="s">
        <v>43</v>
      </c>
      <c r="R568" s="2" t="s">
        <v>44</v>
      </c>
    </row>
    <row r="569" spans="1:18">
      <c r="B569" s="2">
        <v>1993</v>
      </c>
      <c r="C569" s="2">
        <v>1993</v>
      </c>
      <c r="D569" s="2">
        <v>1993</v>
      </c>
      <c r="E569" s="2">
        <v>1993</v>
      </c>
      <c r="F569" s="2">
        <v>1993</v>
      </c>
      <c r="G569" s="2">
        <v>1993</v>
      </c>
      <c r="H569" s="2">
        <v>1993</v>
      </c>
      <c r="I569" s="2">
        <v>1993</v>
      </c>
      <c r="J569" s="2">
        <v>1993</v>
      </c>
      <c r="K569" s="2">
        <v>1993</v>
      </c>
      <c r="L569" s="2">
        <v>1993</v>
      </c>
      <c r="M569" s="2">
        <v>1993</v>
      </c>
      <c r="N569" s="2">
        <v>1993</v>
      </c>
      <c r="O569" s="2">
        <v>1993</v>
      </c>
      <c r="P569" s="2">
        <v>1993</v>
      </c>
      <c r="Q569" s="2">
        <v>1993</v>
      </c>
      <c r="R569" s="2">
        <v>1993</v>
      </c>
    </row>
    <row r="570" spans="1:18">
      <c r="A570" s="1" t="s">
        <v>0</v>
      </c>
      <c r="B570" s="3">
        <v>24017.927344826952</v>
      </c>
      <c r="C570" s="3">
        <v>25399.709566502439</v>
      </c>
      <c r="D570" s="3">
        <v>26246.134970098588</v>
      </c>
      <c r="E570" s="3">
        <v>26017.268849556658</v>
      </c>
      <c r="F570" s="3">
        <v>20495.424645122981</v>
      </c>
      <c r="G570" s="3">
        <v>24368.903349797907</v>
      </c>
      <c r="H570" s="3">
        <v>24042.082776168852</v>
      </c>
      <c r="I570" s="3">
        <v>26044.239627616269</v>
      </c>
      <c r="J570" s="3">
        <v>27453.951326728158</v>
      </c>
      <c r="K570" s="3">
        <v>27105.81340459915</v>
      </c>
      <c r="L570" s="3">
        <v>19349.205275145527</v>
      </c>
      <c r="M570" s="3">
        <v>34925.265444034078</v>
      </c>
      <c r="N570" s="3">
        <v>20082.269921884923</v>
      </c>
      <c r="O570" s="3">
        <v>23075.594577147564</v>
      </c>
      <c r="P570" s="3">
        <v>32952.652037603431</v>
      </c>
      <c r="Q570" s="3">
        <v>23011.248044741918</v>
      </c>
      <c r="R570" s="3">
        <v>33660.612457011921</v>
      </c>
    </row>
    <row r="571" spans="1:18">
      <c r="A571" s="1" t="s">
        <v>1</v>
      </c>
      <c r="B571" s="2">
        <v>37940</v>
      </c>
      <c r="C571" s="2">
        <v>45860</v>
      </c>
      <c r="D571" s="2">
        <v>41197</v>
      </c>
      <c r="E571" s="2">
        <v>38215</v>
      </c>
      <c r="F571" s="2">
        <v>36996</v>
      </c>
      <c r="G571" s="2">
        <v>45103</v>
      </c>
      <c r="H571" s="2">
        <v>42187</v>
      </c>
      <c r="I571" s="2">
        <v>37580</v>
      </c>
      <c r="J571" s="2">
        <v>36442</v>
      </c>
      <c r="K571" s="2">
        <v>39181</v>
      </c>
      <c r="L571" s="2">
        <v>31916</v>
      </c>
      <c r="M571" s="2">
        <v>41943</v>
      </c>
      <c r="N571" s="2">
        <v>36313</v>
      </c>
      <c r="O571" s="2">
        <v>35325</v>
      </c>
      <c r="P571" s="2">
        <v>36515</v>
      </c>
      <c r="Q571" s="2">
        <v>37628</v>
      </c>
      <c r="R571" s="2">
        <v>50193</v>
      </c>
    </row>
    <row r="572" spans="1:18">
      <c r="A572" s="1" t="s">
        <v>2</v>
      </c>
      <c r="B572" s="2">
        <v>23.832006161737471</v>
      </c>
      <c r="C572" s="2">
        <v>24.060570662392109</v>
      </c>
      <c r="D572" s="2">
        <v>17.845139607032056</v>
      </c>
      <c r="E572" s="2">
        <v>22.935943821567896</v>
      </c>
      <c r="F572" s="2">
        <v>20.868984913125345</v>
      </c>
      <c r="G572" s="2">
        <v>18.43554186780155</v>
      </c>
      <c r="H572" s="2">
        <v>22.234902553693843</v>
      </c>
      <c r="I572" s="2">
        <v>25.716970206076816</v>
      </c>
      <c r="J572" s="2">
        <v>31.407476974242076</v>
      </c>
      <c r="K572" s="2">
        <v>26.006746059062436</v>
      </c>
      <c r="L572" s="2">
        <v>23.402169424177323</v>
      </c>
      <c r="M572" s="2">
        <v>26.702437558004434</v>
      </c>
      <c r="N572" s="2">
        <v>20.265997569038717</v>
      </c>
      <c r="O572" s="2">
        <v>19.047198133466793</v>
      </c>
      <c r="P572" s="2">
        <v>27.673336706498286</v>
      </c>
      <c r="Q572" s="2">
        <v>15.194987434958328</v>
      </c>
      <c r="R572" s="2">
        <v>16.082577587385501</v>
      </c>
    </row>
    <row r="573" spans="1:18">
      <c r="A573" s="1" t="s">
        <v>3</v>
      </c>
      <c r="B573" s="2">
        <v>65.459405204683165</v>
      </c>
      <c r="C573" s="2">
        <v>118.75952320446697</v>
      </c>
      <c r="D573" s="2">
        <v>60.416208277409844</v>
      </c>
      <c r="E573" s="2">
        <v>68.038372071343886</v>
      </c>
      <c r="F573" s="2">
        <v>59.08191720094382</v>
      </c>
      <c r="G573" s="2">
        <v>40.777067582660308</v>
      </c>
      <c r="H573" s="2">
        <v>39.332471171267059</v>
      </c>
      <c r="I573" s="2">
        <v>120.73738922316164</v>
      </c>
      <c r="J573" s="2">
        <v>15.923989851766288</v>
      </c>
      <c r="K573" s="2">
        <v>103.7385920228395</v>
      </c>
      <c r="L573" s="2">
        <v>57.655025311755125</v>
      </c>
      <c r="M573" s="2">
        <v>69.437240694836447</v>
      </c>
      <c r="N573" s="2">
        <v>36.927145177573209</v>
      </c>
      <c r="O573" s="2">
        <v>61.773142957798875</v>
      </c>
      <c r="P573" s="2">
        <v>66.720064676598454</v>
      </c>
      <c r="Q573" s="2">
        <v>51.446355526478307</v>
      </c>
      <c r="R573" s="2">
        <v>20.896565343541599</v>
      </c>
    </row>
    <row r="574" spans="1:18">
      <c r="A574" s="6" t="s">
        <v>27</v>
      </c>
      <c r="B574" s="2">
        <v>76.106341463414623</v>
      </c>
      <c r="C574" s="2">
        <v>76.317073170731703</v>
      </c>
      <c r="D574" s="2">
        <v>77.685121951219529</v>
      </c>
      <c r="E574" s="2">
        <v>75.116829268292705</v>
      </c>
      <c r="F574" s="2">
        <v>75.705121951219525</v>
      </c>
      <c r="G574" s="2">
        <v>77.300000000000011</v>
      </c>
      <c r="H574" s="2">
        <v>77.510000000000019</v>
      </c>
      <c r="I574" s="2">
        <v>75.296439024390267</v>
      </c>
      <c r="J574" s="2">
        <v>79.293658536585369</v>
      </c>
      <c r="K574" s="2">
        <v>76.916585365853663</v>
      </c>
      <c r="L574" s="2">
        <v>76.434146341463418</v>
      </c>
      <c r="M574" s="2">
        <v>77.151707317073175</v>
      </c>
      <c r="N574" s="2">
        <v>77.546585365853673</v>
      </c>
      <c r="O574" s="2">
        <v>78.060487804878051</v>
      </c>
      <c r="P574" s="2">
        <v>78.085365853658558</v>
      </c>
      <c r="Q574" s="2">
        <v>76.385365853658527</v>
      </c>
      <c r="R574" s="2">
        <v>75.419512195121968</v>
      </c>
    </row>
    <row r="575" spans="1:18">
      <c r="A575" s="6" t="s">
        <v>8</v>
      </c>
      <c r="B575" s="2">
        <v>104.87617</v>
      </c>
      <c r="C575" s="2">
        <v>138.06935999999999</v>
      </c>
      <c r="D575" s="2">
        <v>104.04819000000001</v>
      </c>
      <c r="E575" s="2">
        <v>111.40869000000001</v>
      </c>
      <c r="F575" s="2">
        <v>116.52961000000001</v>
      </c>
      <c r="G575" s="2">
        <v>104.31643</v>
      </c>
      <c r="H575" s="2">
        <v>82.278959999999998</v>
      </c>
      <c r="I575" s="2">
        <v>111.956</v>
      </c>
      <c r="J575" s="2">
        <v>98.191130000000001</v>
      </c>
      <c r="K575" s="2">
        <v>122.75341</v>
      </c>
      <c r="L575" s="2">
        <v>101.91916000000001</v>
      </c>
      <c r="M575" s="2">
        <v>113.08447</v>
      </c>
      <c r="N575" s="2">
        <v>111.00385</v>
      </c>
      <c r="O575" s="2">
        <v>120.80488</v>
      </c>
      <c r="P575" s="2">
        <v>99.28322</v>
      </c>
      <c r="Q575" s="2">
        <v>100.20889</v>
      </c>
      <c r="R575" s="2">
        <v>95.695800000000006</v>
      </c>
    </row>
    <row r="576" spans="1:18">
      <c r="A576" s="3" t="s">
        <v>4</v>
      </c>
      <c r="B576" s="2">
        <f t="shared" ref="B576:R576" si="245">(B570-1281.498)/(34925.27-1281.498)</f>
        <v>0.67579905561204479</v>
      </c>
      <c r="C576" s="2">
        <f t="shared" si="245"/>
        <v>0.71687002178300463</v>
      </c>
      <c r="D576" s="2">
        <f t="shared" si="245"/>
        <v>0.74202847915205794</v>
      </c>
      <c r="E576" s="2">
        <f t="shared" si="245"/>
        <v>0.73522584951403969</v>
      </c>
      <c r="F576" s="2">
        <f t="shared" si="245"/>
        <v>0.57109906240961872</v>
      </c>
      <c r="G576" s="2">
        <f t="shared" si="245"/>
        <v>0.68623117972021419</v>
      </c>
      <c r="H576" s="2">
        <f t="shared" si="245"/>
        <v>0.67651703192403201</v>
      </c>
      <c r="I576" s="2">
        <f t="shared" si="245"/>
        <v>0.73602750689239815</v>
      </c>
      <c r="J576" s="2">
        <f t="shared" si="245"/>
        <v>0.77792862603896373</v>
      </c>
      <c r="K576" s="2">
        <f t="shared" si="245"/>
        <v>0.76758085878715243</v>
      </c>
      <c r="L576" s="2">
        <f t="shared" si="245"/>
        <v>0.53702977404393093</v>
      </c>
      <c r="M576" s="2">
        <f t="shared" si="245"/>
        <v>0.99999986458219015</v>
      </c>
      <c r="N576" s="2">
        <f t="shared" si="245"/>
        <v>0.55881878886484326</v>
      </c>
      <c r="O576" s="2">
        <f t="shared" si="245"/>
        <v>0.64778992608639618</v>
      </c>
      <c r="P576" s="2">
        <f t="shared" si="245"/>
        <v>0.94136751484356251</v>
      </c>
      <c r="Q576" s="2">
        <f t="shared" si="245"/>
        <v>0.6458773423129226</v>
      </c>
      <c r="R576" s="2">
        <f t="shared" si="245"/>
        <v>0.96241035211545023</v>
      </c>
    </row>
    <row r="577" spans="1:18">
      <c r="A577" s="3" t="s">
        <v>5</v>
      </c>
      <c r="B577" s="2">
        <f>(B571-3172)/(50193-3172)</f>
        <v>0.73941430424703858</v>
      </c>
      <c r="C577" s="2">
        <f t="shared" ref="C577:R577" si="246">(C571-3172)/(50193-3172)</f>
        <v>0.90784968418366263</v>
      </c>
      <c r="D577" s="2">
        <f t="shared" si="246"/>
        <v>0.80868122753663252</v>
      </c>
      <c r="E577" s="2">
        <f t="shared" si="246"/>
        <v>0.7452627549392824</v>
      </c>
      <c r="F577" s="2">
        <f t="shared" si="246"/>
        <v>0.71933816805257222</v>
      </c>
      <c r="G577" s="2">
        <f t="shared" si="246"/>
        <v>0.89175049445992216</v>
      </c>
      <c r="H577" s="2">
        <f t="shared" si="246"/>
        <v>0.82973565002871053</v>
      </c>
      <c r="I577" s="2">
        <f t="shared" si="246"/>
        <v>0.73175815061355565</v>
      </c>
      <c r="J577" s="2">
        <f t="shared" si="246"/>
        <v>0.7075561982943791</v>
      </c>
      <c r="K577" s="2">
        <f t="shared" si="246"/>
        <v>0.76580676718912821</v>
      </c>
      <c r="L577" s="2">
        <f t="shared" si="246"/>
        <v>0.61130133344675786</v>
      </c>
      <c r="M577" s="2">
        <f t="shared" si="246"/>
        <v>0.82454647923268332</v>
      </c>
      <c r="N577" s="2">
        <f t="shared" si="246"/>
        <v>0.70481274324238108</v>
      </c>
      <c r="O577" s="2">
        <f t="shared" si="246"/>
        <v>0.6838008549371557</v>
      </c>
      <c r="P577" s="2">
        <f t="shared" si="246"/>
        <v>0.709108696114502</v>
      </c>
      <c r="Q577" s="2">
        <f t="shared" si="246"/>
        <v>0.73277897109802004</v>
      </c>
      <c r="R577" s="2">
        <f t="shared" si="246"/>
        <v>1</v>
      </c>
    </row>
    <row r="578" spans="1:18">
      <c r="A578" s="3" t="s">
        <v>6</v>
      </c>
      <c r="B578" s="2">
        <f t="shared" ref="B578:R578" si="247">(B572-7.654)/(41.806-7.654)</f>
        <v>0.4737059663193216</v>
      </c>
      <c r="C578" s="2">
        <f t="shared" si="247"/>
        <v>0.48039853192762089</v>
      </c>
      <c r="D578" s="2">
        <f t="shared" si="247"/>
        <v>0.29840535274748348</v>
      </c>
      <c r="E578" s="2">
        <f t="shared" si="247"/>
        <v>0.44746848856781141</v>
      </c>
      <c r="F578" s="2">
        <f t="shared" si="247"/>
        <v>0.38694614995096466</v>
      </c>
      <c r="G578" s="2">
        <f t="shared" si="247"/>
        <v>0.31569283988643565</v>
      </c>
      <c r="H578" s="2">
        <f t="shared" si="247"/>
        <v>0.42694139592685176</v>
      </c>
      <c r="I578" s="2">
        <f t="shared" si="247"/>
        <v>0.52889933843045256</v>
      </c>
      <c r="J578" s="2">
        <f t="shared" si="247"/>
        <v>0.69552228198178956</v>
      </c>
      <c r="K578" s="2">
        <f t="shared" si="247"/>
        <v>0.53738422520093809</v>
      </c>
      <c r="L578" s="2">
        <f t="shared" si="247"/>
        <v>0.46111997611200878</v>
      </c>
      <c r="M578" s="2">
        <f t="shared" si="247"/>
        <v>0.55775467199591333</v>
      </c>
      <c r="N578" s="2">
        <f t="shared" si="247"/>
        <v>0.36929016072378534</v>
      </c>
      <c r="O578" s="2">
        <f t="shared" si="247"/>
        <v>0.33360266261029492</v>
      </c>
      <c r="P578" s="2">
        <f t="shared" si="247"/>
        <v>0.58618343600662581</v>
      </c>
      <c r="Q578" s="2">
        <f t="shared" si="247"/>
        <v>0.22080661264225604</v>
      </c>
      <c r="R578" s="2">
        <f t="shared" si="247"/>
        <v>0.24679601743340071</v>
      </c>
    </row>
    <row r="579" spans="1:18">
      <c r="A579" s="3" t="s">
        <v>3</v>
      </c>
      <c r="B579" s="2">
        <f>(B573-15.924)/(157.941-15.924)</f>
        <v>0.34879912408150548</v>
      </c>
      <c r="C579" s="2">
        <f t="shared" ref="C579:R579" si="248">(C573-15.924)/(157.941-15.924)</f>
        <v>0.72410713650103131</v>
      </c>
      <c r="D579" s="2">
        <f t="shared" si="248"/>
        <v>0.31328790410591578</v>
      </c>
      <c r="E579" s="2">
        <f t="shared" si="248"/>
        <v>0.36695868854675068</v>
      </c>
      <c r="F579" s="2">
        <f t="shared" si="248"/>
        <v>0.30389261286285318</v>
      </c>
      <c r="G579" s="2">
        <f t="shared" si="248"/>
        <v>0.17500065191251971</v>
      </c>
      <c r="H579" s="2">
        <f t="shared" si="248"/>
        <v>0.16482865552199427</v>
      </c>
      <c r="I579" s="2">
        <f t="shared" si="248"/>
        <v>0.73803410312259543</v>
      </c>
      <c r="J579" s="2">
        <f t="shared" si="248"/>
        <v>-7.145787976896531E-8</v>
      </c>
      <c r="K579" s="2">
        <f t="shared" si="248"/>
        <v>0.61833859342782549</v>
      </c>
      <c r="L579" s="2">
        <f t="shared" si="248"/>
        <v>0.29384528128150239</v>
      </c>
      <c r="M579" s="2">
        <f t="shared" si="248"/>
        <v>0.37680869680979356</v>
      </c>
      <c r="N579" s="2">
        <f t="shared" si="248"/>
        <v>0.14789176772902687</v>
      </c>
      <c r="O579" s="2">
        <f t="shared" si="248"/>
        <v>0.32284263826020038</v>
      </c>
      <c r="P579" s="2">
        <f t="shared" si="248"/>
        <v>0.35767594496854921</v>
      </c>
      <c r="Q579" s="2">
        <f t="shared" si="248"/>
        <v>0.25012748844489258</v>
      </c>
      <c r="R579" s="2">
        <f t="shared" si="248"/>
        <v>3.5013873997772095E-2</v>
      </c>
    </row>
    <row r="580" spans="1:18">
      <c r="A580" s="3" t="s">
        <v>7</v>
      </c>
      <c r="B580" s="2">
        <f>(B574-59.186)/(79.294-59.186)</f>
        <v>0.84147311833173988</v>
      </c>
      <c r="C580" s="2">
        <f t="shared" ref="C580:R580" si="249">(C574-59.186)/(79.294-59.186)</f>
        <v>0.85195311173322585</v>
      </c>
      <c r="D580" s="2">
        <f t="shared" si="249"/>
        <v>0.91998816148893636</v>
      </c>
      <c r="E580" s="2">
        <f t="shared" si="249"/>
        <v>0.79226324190833042</v>
      </c>
      <c r="F580" s="2">
        <f t="shared" si="249"/>
        <v>0.82151989015414395</v>
      </c>
      <c r="G580" s="2">
        <f t="shared" si="249"/>
        <v>0.90083548836284133</v>
      </c>
      <c r="H580" s="2">
        <f t="shared" si="249"/>
        <v>0.91127909289834996</v>
      </c>
      <c r="I580" s="2">
        <f t="shared" si="249"/>
        <v>0.80119549554357816</v>
      </c>
      <c r="J580" s="2">
        <f t="shared" si="249"/>
        <v>0.9999830185292109</v>
      </c>
      <c r="K580" s="2">
        <f t="shared" si="249"/>
        <v>0.88176772259069358</v>
      </c>
      <c r="L580" s="2">
        <f t="shared" si="249"/>
        <v>0.85777533028960717</v>
      </c>
      <c r="M580" s="2">
        <f t="shared" si="249"/>
        <v>0.89346067819142516</v>
      </c>
      <c r="N580" s="2">
        <f t="shared" si="249"/>
        <v>0.91309853619721881</v>
      </c>
      <c r="O580" s="2">
        <f t="shared" si="249"/>
        <v>0.93865564973533189</v>
      </c>
      <c r="P580" s="2">
        <f t="shared" si="249"/>
        <v>0.93989287117856379</v>
      </c>
      <c r="Q580" s="2">
        <f t="shared" si="249"/>
        <v>0.85534940589111452</v>
      </c>
      <c r="R580" s="2">
        <f t="shared" si="249"/>
        <v>0.80731610280097321</v>
      </c>
    </row>
    <row r="581" spans="1:18">
      <c r="A581" s="4" t="s">
        <v>8</v>
      </c>
      <c r="B581" s="2">
        <f>(B575-37.545)/(138.069-37.545)</f>
        <v>0.66980193784568864</v>
      </c>
      <c r="C581" s="2">
        <f t="shared" ref="C581:R581" si="250">(C575-37.545)/(138.069-37.545)</f>
        <v>1.0000035812343322</v>
      </c>
      <c r="D581" s="2">
        <f t="shared" si="250"/>
        <v>0.66156529783932205</v>
      </c>
      <c r="E581" s="2">
        <f t="shared" si="250"/>
        <v>0.73478661812104584</v>
      </c>
      <c r="F581" s="2">
        <f t="shared" si="250"/>
        <v>0.78572888066531388</v>
      </c>
      <c r="G581" s="2">
        <f t="shared" si="250"/>
        <v>0.66423371533166209</v>
      </c>
      <c r="H581" s="2">
        <f t="shared" si="250"/>
        <v>0.44500775934105291</v>
      </c>
      <c r="I581" s="2">
        <f t="shared" si="250"/>
        <v>0.74023118857188341</v>
      </c>
      <c r="J581" s="2">
        <f t="shared" si="250"/>
        <v>0.60330000795829863</v>
      </c>
      <c r="K581" s="2">
        <f t="shared" si="250"/>
        <v>0.84764245354343248</v>
      </c>
      <c r="L581" s="2">
        <f t="shared" si="250"/>
        <v>0.64038597747801529</v>
      </c>
      <c r="M581" s="2">
        <f t="shared" si="250"/>
        <v>0.75145706497950737</v>
      </c>
      <c r="N581" s="2">
        <f t="shared" si="250"/>
        <v>0.73075932115713671</v>
      </c>
      <c r="O581" s="2">
        <f t="shared" si="250"/>
        <v>0.828258724284748</v>
      </c>
      <c r="P581" s="2">
        <f t="shared" si="250"/>
        <v>0.6141639807409176</v>
      </c>
      <c r="Q581" s="2">
        <f t="shared" si="250"/>
        <v>0.62337242847479213</v>
      </c>
      <c r="R581" s="2">
        <f t="shared" si="250"/>
        <v>0.57847678166408034</v>
      </c>
    </row>
    <row r="582" spans="1:18">
      <c r="A582" s="4" t="s">
        <v>66</v>
      </c>
      <c r="B582" s="2">
        <f>(B576+B577+B578+B579+B580+B581)/6</f>
        <v>0.62483225107288998</v>
      </c>
      <c r="C582" s="2">
        <f t="shared" ref="C582:R582" si="251">(C576+C577+C578+C579+C580+C581)/6</f>
        <v>0.78019701122714624</v>
      </c>
      <c r="D582" s="2">
        <f t="shared" si="251"/>
        <v>0.6239927371450581</v>
      </c>
      <c r="E582" s="2">
        <f t="shared" si="251"/>
        <v>0.63699427359954341</v>
      </c>
      <c r="F582" s="2">
        <f t="shared" si="251"/>
        <v>0.59808746068257779</v>
      </c>
      <c r="G582" s="2">
        <f t="shared" si="251"/>
        <v>0.6056240616122659</v>
      </c>
      <c r="H582" s="2">
        <f t="shared" si="251"/>
        <v>0.57571826427349859</v>
      </c>
      <c r="I582" s="2">
        <f t="shared" si="251"/>
        <v>0.7126909638624106</v>
      </c>
      <c r="J582" s="2">
        <f t="shared" si="251"/>
        <v>0.63071501022412713</v>
      </c>
      <c r="K582" s="2">
        <f t="shared" si="251"/>
        <v>0.73642010345652842</v>
      </c>
      <c r="L582" s="2">
        <f t="shared" si="251"/>
        <v>0.56690961210863711</v>
      </c>
      <c r="M582" s="2">
        <f t="shared" si="251"/>
        <v>0.73400457596525215</v>
      </c>
      <c r="N582" s="2">
        <f t="shared" si="251"/>
        <v>0.57077855298573199</v>
      </c>
      <c r="O582" s="2">
        <f t="shared" si="251"/>
        <v>0.62582507598568793</v>
      </c>
      <c r="P582" s="2">
        <f t="shared" si="251"/>
        <v>0.69139874064212015</v>
      </c>
      <c r="Q582" s="2">
        <f t="shared" si="251"/>
        <v>0.55471870814399971</v>
      </c>
      <c r="R582" s="2">
        <f t="shared" si="251"/>
        <v>0.60500218800194616</v>
      </c>
    </row>
    <row r="584" spans="1:18">
      <c r="A584" s="1" t="s">
        <v>9</v>
      </c>
      <c r="B584" s="2" t="s">
        <v>10</v>
      </c>
      <c r="C584" s="2" t="s">
        <v>11</v>
      </c>
      <c r="D584" s="2" t="s">
        <v>12</v>
      </c>
      <c r="E584" s="2" t="s">
        <v>13</v>
      </c>
      <c r="F584" s="2" t="s">
        <v>14</v>
      </c>
      <c r="G584" s="2" t="s">
        <v>15</v>
      </c>
      <c r="H584" s="2" t="s">
        <v>16</v>
      </c>
      <c r="I584" s="2" t="s">
        <v>17</v>
      </c>
      <c r="J584" s="2" t="s">
        <v>18</v>
      </c>
      <c r="K584" s="2" t="s">
        <v>19</v>
      </c>
      <c r="L584" s="2" t="s">
        <v>20</v>
      </c>
      <c r="M584" s="2" t="s">
        <v>21</v>
      </c>
      <c r="N584" s="2" t="s">
        <v>22</v>
      </c>
      <c r="O584" s="2" t="s">
        <v>23</v>
      </c>
      <c r="P584" s="2" t="s">
        <v>24</v>
      </c>
      <c r="Q584" s="2" t="s">
        <v>25</v>
      </c>
      <c r="R584" s="2" t="s">
        <v>26</v>
      </c>
    </row>
    <row r="585" spans="1:18">
      <c r="B585" s="2">
        <v>1992</v>
      </c>
      <c r="C585" s="2">
        <v>1992</v>
      </c>
      <c r="D585" s="2">
        <v>1992</v>
      </c>
      <c r="E585" s="2">
        <v>1992</v>
      </c>
      <c r="F585" s="2">
        <v>1992</v>
      </c>
      <c r="G585" s="2">
        <v>1992</v>
      </c>
      <c r="H585" s="2">
        <v>1992</v>
      </c>
      <c r="I585" s="2">
        <v>1992</v>
      </c>
      <c r="J585" s="2">
        <v>1992</v>
      </c>
      <c r="K585" s="2">
        <v>1992</v>
      </c>
      <c r="L585" s="2">
        <v>1992</v>
      </c>
      <c r="M585" s="2">
        <v>1992</v>
      </c>
      <c r="N585" s="2">
        <v>1992</v>
      </c>
      <c r="O585" s="2">
        <v>1992</v>
      </c>
      <c r="P585" s="2">
        <v>1992</v>
      </c>
      <c r="Q585" s="2">
        <v>1992</v>
      </c>
      <c r="R585" s="2">
        <v>1992</v>
      </c>
    </row>
    <row r="586" spans="1:18">
      <c r="A586" s="1" t="s">
        <v>0</v>
      </c>
      <c r="B586" s="3">
        <v>9160.1633975569603</v>
      </c>
      <c r="C586" s="3">
        <v>6520.9849975256848</v>
      </c>
      <c r="D586" s="3">
        <v>8079.9024428791672</v>
      </c>
      <c r="E586" s="3">
        <v>1337.500031896272</v>
      </c>
      <c r="F586" s="3">
        <v>6283.4557766229063</v>
      </c>
      <c r="G586" s="3">
        <v>6632.2463702671257</v>
      </c>
      <c r="H586" s="3">
        <v>1246.8745319989434</v>
      </c>
      <c r="I586" s="3">
        <v>2338.3859459735122</v>
      </c>
      <c r="J586" s="3">
        <v>7774.4812532598353</v>
      </c>
      <c r="K586" s="3">
        <v>10381.762337459237</v>
      </c>
      <c r="L586" s="3">
        <v>4360.3987099138694</v>
      </c>
      <c r="M586" s="3">
        <v>2413.5020135901873</v>
      </c>
      <c r="N586" s="3">
        <v>4568.0229990474081</v>
      </c>
      <c r="O586" s="3">
        <v>4806.558386143457</v>
      </c>
      <c r="P586" s="3">
        <v>8298.4614900106626</v>
      </c>
      <c r="Q586" s="3">
        <v>8041.7037852435005</v>
      </c>
      <c r="R586" s="3">
        <v>10635.113770631808</v>
      </c>
    </row>
    <row r="587" spans="1:18">
      <c r="A587" s="1" t="s">
        <v>1</v>
      </c>
      <c r="B587" s="2">
        <v>20036</v>
      </c>
      <c r="C587" s="2">
        <v>12051</v>
      </c>
      <c r="D587" s="2">
        <v>21570</v>
      </c>
      <c r="E587" s="2">
        <v>2921</v>
      </c>
      <c r="F587" s="2">
        <v>14144</v>
      </c>
      <c r="G587" s="2">
        <v>14701</v>
      </c>
      <c r="H587" s="2">
        <v>3600</v>
      </c>
      <c r="I587" s="2">
        <v>6707</v>
      </c>
      <c r="J587" s="2">
        <v>15098</v>
      </c>
      <c r="K587" s="2">
        <v>17498</v>
      </c>
      <c r="L587" s="2">
        <v>7911</v>
      </c>
      <c r="M587" s="2">
        <v>6021</v>
      </c>
      <c r="N587" s="2">
        <v>9744</v>
      </c>
      <c r="O587" s="2">
        <v>11847</v>
      </c>
      <c r="P587" s="2">
        <v>16366</v>
      </c>
      <c r="Q587" s="2">
        <v>19598</v>
      </c>
      <c r="R587" s="2">
        <v>28465</v>
      </c>
    </row>
    <row r="588" spans="1:18">
      <c r="A588" s="1" t="s">
        <v>2</v>
      </c>
      <c r="B588" s="2">
        <v>15.167803739581171</v>
      </c>
      <c r="C588" s="2">
        <v>14.062250709163344</v>
      </c>
      <c r="D588" s="2">
        <v>25.774834356580101</v>
      </c>
      <c r="E588" s="2">
        <v>38.645319601158093</v>
      </c>
      <c r="F588" s="2">
        <v>18.666381064170405</v>
      </c>
      <c r="G588" s="2">
        <v>15.608443753967597</v>
      </c>
      <c r="H588" s="2">
        <v>23.507989973139274</v>
      </c>
      <c r="I588" s="2">
        <v>33.411012284423144</v>
      </c>
      <c r="J588" s="2">
        <v>36.719050627825752</v>
      </c>
      <c r="K588" s="2">
        <v>18.257884734653963</v>
      </c>
      <c r="L588" s="2">
        <v>14.464070817421876</v>
      </c>
      <c r="M588" s="2">
        <v>16.439977833006182</v>
      </c>
      <c r="N588" s="2">
        <v>35.954247954455383</v>
      </c>
      <c r="O588" s="2">
        <v>22.264296867019802</v>
      </c>
      <c r="P588" s="2">
        <v>20.409377263647738</v>
      </c>
      <c r="Q588" s="2">
        <v>16.206999033397846</v>
      </c>
      <c r="R588" s="2">
        <v>21.165547576983862</v>
      </c>
    </row>
    <row r="589" spans="1:18">
      <c r="A589" s="1" t="s">
        <v>3</v>
      </c>
      <c r="B589" s="2">
        <v>14.730980577733382</v>
      </c>
      <c r="C589" s="2">
        <v>100.04980079681276</v>
      </c>
      <c r="D589" s="2">
        <v>57.980952650307124</v>
      </c>
      <c r="E589" s="2">
        <v>36.113109565470907</v>
      </c>
      <c r="F589" s="2">
        <v>33.465566064674356</v>
      </c>
      <c r="G589" s="2">
        <v>75.059769329605018</v>
      </c>
      <c r="H589" s="2">
        <v>18.115410294838284</v>
      </c>
      <c r="I589" s="2">
        <v>52.849748289691192</v>
      </c>
      <c r="J589" s="2">
        <v>150.61122776274917</v>
      </c>
      <c r="K589" s="2">
        <v>35.509333059181905</v>
      </c>
      <c r="L589" s="2">
        <v>28.372233344095577</v>
      </c>
      <c r="M589" s="2">
        <v>63.157953148919134</v>
      </c>
      <c r="N589" s="2">
        <v>77.95464752552995</v>
      </c>
      <c r="O589" s="2">
        <v>86.000087554174144</v>
      </c>
      <c r="P589" s="2">
        <v>31.737365644503956</v>
      </c>
      <c r="Q589" s="2">
        <v>40.073043629252872</v>
      </c>
      <c r="R589" s="2">
        <v>55.261754677436649</v>
      </c>
    </row>
    <row r="590" spans="1:18">
      <c r="A590" s="6" t="s">
        <v>27</v>
      </c>
      <c r="B590" s="5">
        <v>71.944073170731713</v>
      </c>
      <c r="C590" s="5">
        <v>71.494390243902444</v>
      </c>
      <c r="D590" s="5">
        <v>74.213951219512197</v>
      </c>
      <c r="E590" s="5">
        <v>69.861829268292681</v>
      </c>
      <c r="F590" s="5">
        <v>68.649000000000015</v>
      </c>
      <c r="G590" s="5">
        <v>76.169219512195141</v>
      </c>
      <c r="H590" s="5">
        <v>58.892512195121952</v>
      </c>
      <c r="I590" s="5">
        <v>62.880463414634143</v>
      </c>
      <c r="J590" s="5">
        <v>70.520829268292687</v>
      </c>
      <c r="K590" s="5">
        <v>71.581707317073182</v>
      </c>
      <c r="L590" s="5">
        <v>66.508804878048792</v>
      </c>
      <c r="M590" s="5">
        <v>65.512365853658537</v>
      </c>
      <c r="N590" s="5">
        <v>72.452878048780491</v>
      </c>
      <c r="O590" s="5">
        <v>70.756097560975618</v>
      </c>
      <c r="P590" s="5">
        <v>64.200756097560983</v>
      </c>
      <c r="Q590" s="5">
        <v>72.850000000000023</v>
      </c>
      <c r="R590" s="5">
        <v>71.415756097560987</v>
      </c>
    </row>
    <row r="591" spans="1:18">
      <c r="A591" s="6" t="s">
        <v>48</v>
      </c>
      <c r="B591" s="5">
        <v>71.458184285714296</v>
      </c>
      <c r="C591" s="5">
        <v>96.141689999999997</v>
      </c>
      <c r="D591" s="5">
        <v>78.755849999999995</v>
      </c>
      <c r="E591" s="5">
        <v>43.884140000000002</v>
      </c>
      <c r="F591" s="5">
        <v>58.499139999999997</v>
      </c>
      <c r="G591" s="5">
        <v>47.001179999999998</v>
      </c>
      <c r="H591" s="5">
        <v>41.938048999999999</v>
      </c>
      <c r="I591" s="5">
        <v>43.307020000000001</v>
      </c>
      <c r="J591" s="5">
        <v>56.113320000000002</v>
      </c>
      <c r="K591" s="5">
        <v>53.938809999999997</v>
      </c>
      <c r="L591" s="5">
        <v>66.00797</v>
      </c>
      <c r="M591" s="5">
        <v>72.518720000000002</v>
      </c>
      <c r="N591" s="5">
        <v>33.39967</v>
      </c>
      <c r="O591" s="5">
        <v>45.887239999999998</v>
      </c>
      <c r="P591" s="5">
        <v>52.997459999999997</v>
      </c>
      <c r="Q591" s="5">
        <v>82.677369999999996</v>
      </c>
      <c r="R591" s="5">
        <v>56.406979999999997</v>
      </c>
    </row>
    <row r="592" spans="1:18">
      <c r="A592" s="3" t="s">
        <v>4</v>
      </c>
      <c r="B592" s="2">
        <f>(B586-1246.875)/(34181.28-1246.875)</f>
        <v>0.24027421772328847</v>
      </c>
      <c r="C592" s="2">
        <f t="shared" ref="C592:R592" si="252">(C586-1246.875)/(34181.28-1246.875)</f>
        <v>0.1601398293828501</v>
      </c>
      <c r="D592" s="2">
        <f t="shared" si="252"/>
        <v>0.20747383907130454</v>
      </c>
      <c r="E592" s="2">
        <f t="shared" si="252"/>
        <v>2.7516826824796757E-3</v>
      </c>
      <c r="F592" s="2">
        <f t="shared" si="252"/>
        <v>0.15292763833513637</v>
      </c>
      <c r="G592" s="2">
        <f t="shared" si="252"/>
        <v>0.16351810121564747</v>
      </c>
      <c r="H592" s="2">
        <f t="shared" si="252"/>
        <v>-1.4210095994166337E-8</v>
      </c>
      <c r="I592" s="2">
        <f t="shared" si="252"/>
        <v>3.3141966462534006E-2</v>
      </c>
      <c r="J592" s="2">
        <f t="shared" si="252"/>
        <v>0.19820021807771646</v>
      </c>
      <c r="K592" s="2">
        <f t="shared" si="252"/>
        <v>0.27736609595525519</v>
      </c>
      <c r="L592" s="2">
        <f t="shared" si="252"/>
        <v>9.4537117337139376E-2</v>
      </c>
      <c r="M592" s="2">
        <f t="shared" si="252"/>
        <v>3.5422744500475639E-2</v>
      </c>
      <c r="N592" s="2">
        <f t="shared" si="252"/>
        <v>0.10084129344518014</v>
      </c>
      <c r="O592" s="2">
        <f t="shared" si="252"/>
        <v>0.10808403510382097</v>
      </c>
      <c r="P592" s="2">
        <f t="shared" si="252"/>
        <v>0.21411003144009016</v>
      </c>
      <c r="Q592" s="2">
        <f t="shared" si="252"/>
        <v>0.20631399854478927</v>
      </c>
      <c r="R592" s="2">
        <f t="shared" si="252"/>
        <v>0.28505870291665536</v>
      </c>
    </row>
    <row r="593" spans="1:18">
      <c r="A593" s="3" t="s">
        <v>5</v>
      </c>
      <c r="B593" s="2">
        <f t="shared" ref="B593:R593" si="253">(B587-2921)/(49505-2921)</f>
        <v>0.36740082431736221</v>
      </c>
      <c r="C593" s="2">
        <f t="shared" si="253"/>
        <v>0.19599003949854027</v>
      </c>
      <c r="D593" s="2">
        <f t="shared" si="253"/>
        <v>0.4003305856087927</v>
      </c>
      <c r="E593" s="2">
        <f t="shared" si="253"/>
        <v>0</v>
      </c>
      <c r="F593" s="2">
        <f t="shared" si="253"/>
        <v>0.24091962905718703</v>
      </c>
      <c r="G593" s="2">
        <f t="shared" si="253"/>
        <v>0.25287652412845613</v>
      </c>
      <c r="H593" s="2">
        <f t="shared" si="253"/>
        <v>1.4575820024042591E-2</v>
      </c>
      <c r="I593" s="2">
        <f t="shared" si="253"/>
        <v>8.1272539927872228E-2</v>
      </c>
      <c r="J593" s="2">
        <f t="shared" si="253"/>
        <v>0.26139876352395675</v>
      </c>
      <c r="K593" s="2">
        <f t="shared" si="253"/>
        <v>0.31291859866048427</v>
      </c>
      <c r="L593" s="2">
        <f t="shared" si="253"/>
        <v>0.10711832388803022</v>
      </c>
      <c r="M593" s="2">
        <f t="shared" si="253"/>
        <v>6.6546453718014764E-2</v>
      </c>
      <c r="N593" s="2">
        <f t="shared" si="253"/>
        <v>0.14646659797355316</v>
      </c>
      <c r="O593" s="2">
        <f t="shared" si="253"/>
        <v>0.19161085351193544</v>
      </c>
      <c r="P593" s="2">
        <f t="shared" si="253"/>
        <v>0.2886184097544221</v>
      </c>
      <c r="Q593" s="2">
        <f t="shared" si="253"/>
        <v>0.35799845440494593</v>
      </c>
      <c r="R593" s="2">
        <f t="shared" si="253"/>
        <v>0.54834277863644165</v>
      </c>
    </row>
    <row r="594" spans="1:18">
      <c r="A594" s="3" t="s">
        <v>6</v>
      </c>
      <c r="B594" s="2">
        <f>(B588-14.062)/(38.645-14.062)</f>
        <v>4.4982456965430219E-2</v>
      </c>
      <c r="C594" s="2">
        <f t="shared" ref="C594:R594" si="254">(C588-14.062)/(38.645-14.062)</f>
        <v>1.0198477132341603E-5</v>
      </c>
      <c r="D594" s="2">
        <f t="shared" si="254"/>
        <v>0.47646073939633482</v>
      </c>
      <c r="E594" s="2">
        <f t="shared" si="254"/>
        <v>1.0000130009013581</v>
      </c>
      <c r="F594" s="2">
        <f t="shared" si="254"/>
        <v>0.18729939650044358</v>
      </c>
      <c r="G594" s="2">
        <f t="shared" si="254"/>
        <v>6.2907039578879609E-2</v>
      </c>
      <c r="H594" s="2">
        <f t="shared" si="254"/>
        <v>0.38424887007847996</v>
      </c>
      <c r="I594" s="2">
        <f t="shared" si="254"/>
        <v>0.78708913820213733</v>
      </c>
      <c r="J594" s="2">
        <f t="shared" si="254"/>
        <v>0.92165523442320907</v>
      </c>
      <c r="K594" s="2">
        <f t="shared" si="254"/>
        <v>0.17068237134011158</v>
      </c>
      <c r="L594" s="2">
        <f t="shared" si="254"/>
        <v>1.6355644853023474E-2</v>
      </c>
      <c r="M594" s="2">
        <f t="shared" si="254"/>
        <v>9.6732613310262464E-2</v>
      </c>
      <c r="N594" s="2">
        <f t="shared" si="254"/>
        <v>0.8905441953567661</v>
      </c>
      <c r="O594" s="2">
        <f t="shared" si="254"/>
        <v>0.3336572780791523</v>
      </c>
      <c r="P594" s="2">
        <f t="shared" si="254"/>
        <v>0.25820189820801925</v>
      </c>
      <c r="Q594" s="2">
        <f t="shared" si="254"/>
        <v>8.7255381092537374E-2</v>
      </c>
      <c r="R594" s="2">
        <f t="shared" si="254"/>
        <v>0.28896178566423386</v>
      </c>
    </row>
    <row r="595" spans="1:18">
      <c r="A595" s="3" t="s">
        <v>3</v>
      </c>
      <c r="B595" s="2">
        <f>(B589-14.731)/(150.611-14.731)</f>
        <v>-1.4293690475498707E-7</v>
      </c>
      <c r="C595" s="2">
        <f t="shared" ref="C595:R595" si="255">(C589-14.731)/(150.611-14.731)</f>
        <v>0.62789815128652315</v>
      </c>
      <c r="D595" s="2">
        <f t="shared" si="255"/>
        <v>0.31829520643440629</v>
      </c>
      <c r="E595" s="2">
        <f t="shared" si="255"/>
        <v>0.15736024113534666</v>
      </c>
      <c r="F595" s="2">
        <f t="shared" si="255"/>
        <v>0.13787581737322899</v>
      </c>
      <c r="G595" s="2">
        <f t="shared" si="255"/>
        <v>0.44398564416842079</v>
      </c>
      <c r="H595" s="2">
        <f t="shared" si="255"/>
        <v>2.4907346885768948E-2</v>
      </c>
      <c r="I595" s="2">
        <f t="shared" si="255"/>
        <v>0.2805324425205416</v>
      </c>
      <c r="J595" s="2">
        <f t="shared" si="255"/>
        <v>1.0000016762051014</v>
      </c>
      <c r="K595" s="2">
        <f t="shared" si="255"/>
        <v>0.1529167873063137</v>
      </c>
      <c r="L595" s="2">
        <f t="shared" si="255"/>
        <v>0.10039176732481291</v>
      </c>
      <c r="M595" s="2">
        <f t="shared" si="255"/>
        <v>0.35639500403973456</v>
      </c>
      <c r="N595" s="2">
        <f t="shared" si="255"/>
        <v>0.46529031149197786</v>
      </c>
      <c r="O595" s="2">
        <f t="shared" si="255"/>
        <v>0.52450020278314802</v>
      </c>
      <c r="P595" s="2">
        <f t="shared" si="255"/>
        <v>0.12515723906758874</v>
      </c>
      <c r="Q595" s="2">
        <f t="shared" si="255"/>
        <v>0.18650311767186392</v>
      </c>
      <c r="R595" s="2">
        <f t="shared" si="255"/>
        <v>0.29828344625726116</v>
      </c>
    </row>
    <row r="596" spans="1:18">
      <c r="A596" s="3" t="s">
        <v>7</v>
      </c>
      <c r="B596" s="2">
        <f t="shared" ref="B596:R596" si="256">(B590-58.893)/(79.154-58.893)</f>
        <v>0.64414753322796081</v>
      </c>
      <c r="C596" s="2">
        <f t="shared" si="256"/>
        <v>0.62195302521605278</v>
      </c>
      <c r="D596" s="2">
        <f t="shared" si="256"/>
        <v>0.75617941955047629</v>
      </c>
      <c r="E596" s="2">
        <f t="shared" si="256"/>
        <v>0.54137650008847948</v>
      </c>
      <c r="F596" s="2">
        <f t="shared" si="256"/>
        <v>0.48151621341493589</v>
      </c>
      <c r="G596" s="2">
        <f t="shared" si="256"/>
        <v>0.85268345650240085</v>
      </c>
      <c r="H596" s="2">
        <f t="shared" si="256"/>
        <v>-2.4076051431239175E-5</v>
      </c>
      <c r="I596" s="2">
        <f t="shared" si="256"/>
        <v>0.19680486721455717</v>
      </c>
      <c r="J596" s="2">
        <f t="shared" si="256"/>
        <v>0.57390204176954185</v>
      </c>
      <c r="K596" s="2">
        <f t="shared" si="256"/>
        <v>0.62626263842224883</v>
      </c>
      <c r="L596" s="2">
        <f t="shared" si="256"/>
        <v>0.37588494536542094</v>
      </c>
      <c r="M596" s="2">
        <f t="shared" si="256"/>
        <v>0.32670479510678335</v>
      </c>
      <c r="N596" s="2">
        <f t="shared" si="256"/>
        <v>0.6692600586733376</v>
      </c>
      <c r="O596" s="2">
        <f t="shared" si="256"/>
        <v>0.58551392137483937</v>
      </c>
      <c r="P596" s="2">
        <f t="shared" si="256"/>
        <v>0.26196910801840895</v>
      </c>
      <c r="Q596" s="2">
        <f t="shared" si="256"/>
        <v>0.68886037214352824</v>
      </c>
      <c r="R596" s="2">
        <f t="shared" si="256"/>
        <v>0.61807196572533385</v>
      </c>
    </row>
    <row r="597" spans="1:18">
      <c r="A597" s="4" t="s">
        <v>8</v>
      </c>
      <c r="B597" s="2">
        <f t="shared" ref="B597:R597" si="257">(B591-33.4)/(119.834-33.4)</f>
        <v>0.44031497195217506</v>
      </c>
      <c r="C597" s="2">
        <f t="shared" si="257"/>
        <v>0.72589131591734735</v>
      </c>
      <c r="D597" s="2">
        <f t="shared" si="257"/>
        <v>0.52474547053242937</v>
      </c>
      <c r="E597" s="2">
        <f t="shared" si="257"/>
        <v>0.12129648055163482</v>
      </c>
      <c r="F597" s="2">
        <f t="shared" si="257"/>
        <v>0.29038503366730684</v>
      </c>
      <c r="G597" s="2">
        <f t="shared" si="257"/>
        <v>0.15735914107874216</v>
      </c>
      <c r="H597" s="2">
        <f t="shared" si="257"/>
        <v>9.8781139366453025E-2</v>
      </c>
      <c r="I597" s="2">
        <f t="shared" si="257"/>
        <v>0.11461947844598194</v>
      </c>
      <c r="J597" s="2">
        <f t="shared" si="257"/>
        <v>0.2627822384709721</v>
      </c>
      <c r="K597" s="2">
        <f t="shared" si="257"/>
        <v>0.23762419881065319</v>
      </c>
      <c r="L597" s="2">
        <f t="shared" si="257"/>
        <v>0.37725860193905181</v>
      </c>
      <c r="M597" s="2">
        <f t="shared" si="257"/>
        <v>0.45258486243839235</v>
      </c>
      <c r="N597" s="2">
        <f t="shared" si="257"/>
        <v>-3.8179420135382498E-6</v>
      </c>
      <c r="O597" s="2">
        <f t="shared" si="257"/>
        <v>0.14447138857394082</v>
      </c>
      <c r="P597" s="2">
        <f t="shared" si="257"/>
        <v>0.22673322997894346</v>
      </c>
      <c r="Q597" s="2">
        <f t="shared" si="257"/>
        <v>0.57011557951731962</v>
      </c>
      <c r="R597" s="2">
        <f t="shared" si="257"/>
        <v>0.26617974408218986</v>
      </c>
    </row>
    <row r="598" spans="1:18">
      <c r="A598" s="3" t="s">
        <v>67</v>
      </c>
      <c r="B598" s="2">
        <f t="shared" ref="B598:R598" si="258">(B592+B593+B594+B595+B596+B597)/6</f>
        <v>0.28951997687488534</v>
      </c>
      <c r="C598" s="2">
        <f t="shared" si="258"/>
        <v>0.38864709329640768</v>
      </c>
      <c r="D598" s="2">
        <f t="shared" si="258"/>
        <v>0.44724754343229067</v>
      </c>
      <c r="E598" s="2">
        <f t="shared" si="258"/>
        <v>0.30379965089321648</v>
      </c>
      <c r="F598" s="2">
        <f t="shared" si="258"/>
        <v>0.24848728805803977</v>
      </c>
      <c r="G598" s="2">
        <f t="shared" si="258"/>
        <v>0.32222165111209117</v>
      </c>
      <c r="H598" s="2">
        <f t="shared" si="258"/>
        <v>8.7081514348869557E-2</v>
      </c>
      <c r="I598" s="2">
        <f t="shared" si="258"/>
        <v>0.24891007212893737</v>
      </c>
      <c r="J598" s="2">
        <f t="shared" si="258"/>
        <v>0.53632336207841624</v>
      </c>
      <c r="K598" s="2">
        <f t="shared" si="258"/>
        <v>0.29629511508251111</v>
      </c>
      <c r="L598" s="2">
        <f t="shared" si="258"/>
        <v>0.17859106678457981</v>
      </c>
      <c r="M598" s="2">
        <f t="shared" si="258"/>
        <v>0.22239774551894387</v>
      </c>
      <c r="N598" s="2">
        <f t="shared" si="258"/>
        <v>0.37873310649980024</v>
      </c>
      <c r="O598" s="2">
        <f t="shared" si="258"/>
        <v>0.31463961323780615</v>
      </c>
      <c r="P598" s="2">
        <f t="shared" si="258"/>
        <v>0.22913165274457881</v>
      </c>
      <c r="Q598" s="2">
        <f t="shared" si="258"/>
        <v>0.34950781722916408</v>
      </c>
      <c r="R598" s="2">
        <f t="shared" si="258"/>
        <v>0.38414973721368595</v>
      </c>
    </row>
    <row r="600" spans="1:18">
      <c r="A600" s="1" t="s">
        <v>9</v>
      </c>
      <c r="B600" s="2" t="s">
        <v>28</v>
      </c>
      <c r="C600" s="2" t="s">
        <v>29</v>
      </c>
      <c r="D600" s="2" t="s">
        <v>30</v>
      </c>
      <c r="E600" s="2" t="s">
        <v>31</v>
      </c>
      <c r="F600" s="2" t="s">
        <v>32</v>
      </c>
      <c r="G600" s="2" t="s">
        <v>33</v>
      </c>
      <c r="H600" s="2" t="s">
        <v>34</v>
      </c>
      <c r="I600" s="2" t="s">
        <v>35</v>
      </c>
      <c r="J600" s="2" t="s">
        <v>36</v>
      </c>
      <c r="K600" s="2" t="s">
        <v>37</v>
      </c>
      <c r="L600" s="2" t="s">
        <v>38</v>
      </c>
      <c r="M600" s="2" t="s">
        <v>39</v>
      </c>
      <c r="N600" s="2" t="s">
        <v>40</v>
      </c>
      <c r="O600" s="2" t="s">
        <v>41</v>
      </c>
      <c r="P600" s="2" t="s">
        <v>42</v>
      </c>
      <c r="Q600" s="2" t="s">
        <v>43</v>
      </c>
      <c r="R600" s="2" t="s">
        <v>44</v>
      </c>
    </row>
    <row r="601" spans="1:18">
      <c r="B601" s="2">
        <v>1992</v>
      </c>
      <c r="C601" s="2">
        <v>1992</v>
      </c>
      <c r="D601" s="2">
        <v>1992</v>
      </c>
      <c r="E601" s="2">
        <v>1992</v>
      </c>
      <c r="F601" s="2">
        <v>1992</v>
      </c>
      <c r="G601" s="2">
        <v>1992</v>
      </c>
      <c r="H601" s="2">
        <v>1992</v>
      </c>
      <c r="I601" s="2">
        <v>1992</v>
      </c>
      <c r="J601" s="2">
        <v>1992</v>
      </c>
      <c r="K601" s="2">
        <v>1992</v>
      </c>
      <c r="L601" s="2">
        <v>1992</v>
      </c>
      <c r="M601" s="2">
        <v>1992</v>
      </c>
      <c r="N601" s="2">
        <v>1992</v>
      </c>
      <c r="O601" s="2">
        <v>1992</v>
      </c>
      <c r="P601" s="2">
        <v>1992</v>
      </c>
      <c r="Q601" s="2">
        <v>1992</v>
      </c>
      <c r="R601" s="2">
        <v>1992</v>
      </c>
    </row>
    <row r="602" spans="1:18">
      <c r="A602" s="1" t="s">
        <v>0</v>
      </c>
      <c r="B602" s="3">
        <v>23296.383490998458</v>
      </c>
      <c r="C602" s="3">
        <v>25746.77597574679</v>
      </c>
      <c r="D602" s="3">
        <v>25928.581159388941</v>
      </c>
      <c r="E602" s="3">
        <v>26127.505764544003</v>
      </c>
      <c r="F602" s="3">
        <v>20763.159315905727</v>
      </c>
      <c r="G602" s="3">
        <v>24639.286861108561</v>
      </c>
      <c r="H602" s="3">
        <v>24263.707899628898</v>
      </c>
      <c r="I602" s="3">
        <v>25739.239109699643</v>
      </c>
      <c r="J602" s="3">
        <v>27474.797565528024</v>
      </c>
      <c r="K602" s="3">
        <v>26956.407603169806</v>
      </c>
      <c r="L602" s="3">
        <v>18399.861862269732</v>
      </c>
      <c r="M602" s="3">
        <v>34181.279472934635</v>
      </c>
      <c r="N602" s="3">
        <v>20354.762808050054</v>
      </c>
      <c r="O602" s="3">
        <v>23699.558561313625</v>
      </c>
      <c r="P602" s="3">
        <v>33296.075254431897</v>
      </c>
      <c r="Q602" s="3">
        <v>22288.505162104389</v>
      </c>
      <c r="R602" s="3">
        <v>33196.179787050722</v>
      </c>
    </row>
    <row r="603" spans="1:18">
      <c r="A603" s="1" t="s">
        <v>1</v>
      </c>
      <c r="B603" s="2">
        <v>37623</v>
      </c>
      <c r="C603" s="2">
        <v>46005</v>
      </c>
      <c r="D603" s="2">
        <v>40447</v>
      </c>
      <c r="E603" s="2">
        <v>37690</v>
      </c>
      <c r="F603" s="2">
        <v>35070</v>
      </c>
      <c r="G603" s="2">
        <v>44875</v>
      </c>
      <c r="H603" s="2">
        <v>41422</v>
      </c>
      <c r="I603" s="2">
        <v>37145</v>
      </c>
      <c r="J603" s="2">
        <v>36518</v>
      </c>
      <c r="K603" s="2">
        <v>38857</v>
      </c>
      <c r="L603" s="2">
        <v>30639</v>
      </c>
      <c r="M603" s="2">
        <v>41106</v>
      </c>
      <c r="N603" s="2">
        <v>35650</v>
      </c>
      <c r="O603" s="2">
        <v>34386</v>
      </c>
      <c r="P603" s="2">
        <v>36275</v>
      </c>
      <c r="Q603" s="2">
        <v>36477</v>
      </c>
      <c r="R603" s="2">
        <v>49505</v>
      </c>
    </row>
    <row r="604" spans="1:18">
      <c r="A604" s="1" t="s">
        <v>2</v>
      </c>
      <c r="B604" s="2">
        <v>23.739804907316042</v>
      </c>
      <c r="C604" s="2">
        <v>23.961261706268125</v>
      </c>
      <c r="D604" s="2">
        <v>17.425194152581085</v>
      </c>
      <c r="E604" s="2">
        <v>24.112641256569916</v>
      </c>
      <c r="F604" s="2">
        <v>19.586039058829201</v>
      </c>
      <c r="G604" s="2">
        <v>19.83803029824411</v>
      </c>
      <c r="H604" s="2">
        <v>21.606160644703852</v>
      </c>
      <c r="I604" s="2">
        <v>23.859869445563827</v>
      </c>
      <c r="J604" s="2">
        <v>32.660427841970233</v>
      </c>
      <c r="K604" s="2">
        <v>26.353434041871193</v>
      </c>
      <c r="L604" s="2">
        <v>20.301719528822421</v>
      </c>
      <c r="M604" s="2">
        <v>26.335922861005827</v>
      </c>
      <c r="N604" s="2">
        <v>20.700687077311834</v>
      </c>
      <c r="O604" s="2">
        <v>20.194067377003851</v>
      </c>
      <c r="P604" s="2">
        <v>27.478941640334735</v>
      </c>
      <c r="Q604" s="2">
        <v>15.318930041152262</v>
      </c>
      <c r="R604" s="2">
        <v>15.963460985659076</v>
      </c>
    </row>
    <row r="605" spans="1:18">
      <c r="A605" s="1" t="s">
        <v>3</v>
      </c>
      <c r="B605" s="2">
        <v>69.971984015826322</v>
      </c>
      <c r="C605" s="2">
        <v>125.35946460268113</v>
      </c>
      <c r="D605" s="2">
        <v>54.559302192782091</v>
      </c>
      <c r="E605" s="2">
        <v>69.461115492584895</v>
      </c>
      <c r="F605" s="2">
        <v>51.124658144886325</v>
      </c>
      <c r="G605" s="2">
        <v>43.022622147411745</v>
      </c>
      <c r="H605" s="2">
        <v>36.366712017094805</v>
      </c>
      <c r="I605" s="2">
        <v>113.42423796317122</v>
      </c>
      <c r="J605" s="2">
        <v>17.41268372867189</v>
      </c>
      <c r="K605" s="2">
        <v>106.96573598857991</v>
      </c>
      <c r="L605" s="2">
        <v>59.452118193552373</v>
      </c>
      <c r="M605" s="2">
        <v>69.006815382647233</v>
      </c>
      <c r="N605" s="2">
        <v>35.902695516120367</v>
      </c>
      <c r="O605" s="2">
        <v>54.442586793387051</v>
      </c>
      <c r="P605" s="2">
        <v>67.410347525943308</v>
      </c>
      <c r="Q605" s="2">
        <v>47.848668981481481</v>
      </c>
      <c r="R605" s="2">
        <v>20.805519179788558</v>
      </c>
    </row>
    <row r="606" spans="1:18">
      <c r="A606" s="6" t="s">
        <v>27</v>
      </c>
      <c r="B606" s="2">
        <v>75.85536585365854</v>
      </c>
      <c r="C606" s="2">
        <v>76.270731707317069</v>
      </c>
      <c r="D606" s="2">
        <v>77.32073170731708</v>
      </c>
      <c r="E606" s="2">
        <v>75.194146341463423</v>
      </c>
      <c r="F606" s="2">
        <v>75.455365853658549</v>
      </c>
      <c r="G606" s="2">
        <v>77.100000000000009</v>
      </c>
      <c r="H606" s="2">
        <v>77.237804878048792</v>
      </c>
      <c r="I606" s="2">
        <v>75.136243902439034</v>
      </c>
      <c r="J606" s="2">
        <v>79.153902439024392</v>
      </c>
      <c r="K606" s="2">
        <v>77.217073170731723</v>
      </c>
      <c r="L606" s="2">
        <v>76.124390243902454</v>
      </c>
      <c r="M606" s="2">
        <v>77.184390243902456</v>
      </c>
      <c r="N606" s="2">
        <v>77.41</v>
      </c>
      <c r="O606" s="2">
        <v>77.998780487804879</v>
      </c>
      <c r="P606" s="2">
        <v>77.806097560975616</v>
      </c>
      <c r="Q606" s="2">
        <v>76.434146341463418</v>
      </c>
      <c r="R606" s="2">
        <v>75.642195121951232</v>
      </c>
    </row>
    <row r="607" spans="1:18">
      <c r="A607" s="6" t="s">
        <v>8</v>
      </c>
      <c r="B607" s="2">
        <v>103.46626999999999</v>
      </c>
      <c r="C607" s="2">
        <v>100.26188999999999</v>
      </c>
      <c r="D607" s="2">
        <v>102.11792</v>
      </c>
      <c r="E607" s="2">
        <v>110.05002</v>
      </c>
      <c r="F607" s="2">
        <v>119.65156</v>
      </c>
      <c r="G607" s="2">
        <v>103.58304</v>
      </c>
      <c r="H607" s="2">
        <v>80.841679999999997</v>
      </c>
      <c r="I607" s="2">
        <v>102.98967</v>
      </c>
      <c r="J607" s="2">
        <v>98.387330000000006</v>
      </c>
      <c r="K607" s="2">
        <v>119.83446000000001</v>
      </c>
      <c r="L607" s="2">
        <v>94.242549999999994</v>
      </c>
      <c r="M607" s="2">
        <v>105.50597</v>
      </c>
      <c r="N607" s="2">
        <v>106.47066</v>
      </c>
      <c r="O607" s="2">
        <v>91.682699999999997</v>
      </c>
      <c r="P607" s="2">
        <v>98.220050000000001</v>
      </c>
      <c r="Q607" s="2">
        <v>90.347149999999999</v>
      </c>
      <c r="R607" s="2">
        <v>95.558867142857196</v>
      </c>
    </row>
    <row r="608" spans="1:18">
      <c r="A608" s="3" t="s">
        <v>4</v>
      </c>
      <c r="B608" s="2">
        <f t="shared" ref="B608:R608" si="259">(B602-1246.875)/(34181.28-1246.875)</f>
        <v>0.66949770281255905</v>
      </c>
      <c r="C608" s="2">
        <f t="shared" si="259"/>
        <v>0.74389991183222504</v>
      </c>
      <c r="D608" s="2">
        <f t="shared" si="259"/>
        <v>0.74942013251458295</v>
      </c>
      <c r="E608" s="2">
        <f t="shared" si="259"/>
        <v>0.7554601567735626</v>
      </c>
      <c r="F608" s="2">
        <f t="shared" si="259"/>
        <v>0.59258044333594995</v>
      </c>
      <c r="G608" s="2">
        <f t="shared" si="259"/>
        <v>0.71027279409203115</v>
      </c>
      <c r="H608" s="2">
        <f t="shared" si="259"/>
        <v>0.69886894570067071</v>
      </c>
      <c r="I608" s="2">
        <f t="shared" si="259"/>
        <v>0.74367106707103547</v>
      </c>
      <c r="J608" s="2">
        <f t="shared" si="259"/>
        <v>0.79636849566670553</v>
      </c>
      <c r="K608" s="2">
        <f t="shared" si="259"/>
        <v>0.78062842195478577</v>
      </c>
      <c r="L608" s="2">
        <f t="shared" si="259"/>
        <v>0.52082273422792158</v>
      </c>
      <c r="M608" s="2">
        <f t="shared" si="259"/>
        <v>0.99999998399651169</v>
      </c>
      <c r="N608" s="2">
        <f t="shared" si="259"/>
        <v>0.58018014316791378</v>
      </c>
      <c r="O608" s="2">
        <f t="shared" si="259"/>
        <v>0.68173946246527384</v>
      </c>
      <c r="P608" s="2">
        <f t="shared" si="259"/>
        <v>0.97312218801074124</v>
      </c>
      <c r="Q608" s="2">
        <f t="shared" si="259"/>
        <v>0.63889510565332486</v>
      </c>
      <c r="R608" s="2">
        <f t="shared" si="259"/>
        <v>0.97008902353179671</v>
      </c>
    </row>
    <row r="609" spans="1:18">
      <c r="A609" s="3" t="s">
        <v>5</v>
      </c>
      <c r="B609" s="2">
        <f>(B603-2921)/(49505-2921)</f>
        <v>0.74493388287824147</v>
      </c>
      <c r="C609" s="2">
        <f t="shared" ref="C609:R609" si="260">(C603-2921)/(49505-2921)</f>
        <v>0.92486690709256392</v>
      </c>
      <c r="D609" s="2">
        <f t="shared" si="260"/>
        <v>0.80555555555555558</v>
      </c>
      <c r="E609" s="2">
        <f t="shared" si="260"/>
        <v>0.74637214494246951</v>
      </c>
      <c r="F609" s="2">
        <f t="shared" si="260"/>
        <v>0.69012965825176031</v>
      </c>
      <c r="G609" s="2">
        <f t="shared" si="260"/>
        <v>0.90060965138244886</v>
      </c>
      <c r="H609" s="2">
        <f t="shared" si="260"/>
        <v>0.82648548857976989</v>
      </c>
      <c r="I609" s="2">
        <f t="shared" si="260"/>
        <v>0.73467284904688301</v>
      </c>
      <c r="J609" s="2">
        <f t="shared" si="260"/>
        <v>0.72121329211746521</v>
      </c>
      <c r="K609" s="2">
        <f t="shared" si="260"/>
        <v>0.77142366477760604</v>
      </c>
      <c r="L609" s="2">
        <f t="shared" si="260"/>
        <v>0.59501116263094622</v>
      </c>
      <c r="M609" s="2">
        <f t="shared" si="260"/>
        <v>0.81970204362012711</v>
      </c>
      <c r="N609" s="2">
        <f t="shared" si="260"/>
        <v>0.70258028507642112</v>
      </c>
      <c r="O609" s="2">
        <f t="shared" si="260"/>
        <v>0.67544650523784988</v>
      </c>
      <c r="P609" s="2">
        <f t="shared" si="260"/>
        <v>0.71599690880989186</v>
      </c>
      <c r="Q609" s="2">
        <f t="shared" si="260"/>
        <v>0.7203331616005495</v>
      </c>
      <c r="R609" s="2">
        <f t="shared" si="260"/>
        <v>1</v>
      </c>
    </row>
    <row r="610" spans="1:18">
      <c r="A610" s="3" t="s">
        <v>6</v>
      </c>
      <c r="B610" s="2">
        <f t="shared" ref="B610:R610" si="261">(B604-14.062)/(38.645-14.062)</f>
        <v>0.39367875797567592</v>
      </c>
      <c r="C610" s="2">
        <f t="shared" si="261"/>
        <v>0.40268729228605638</v>
      </c>
      <c r="D610" s="2">
        <f t="shared" si="261"/>
        <v>0.13680975277960725</v>
      </c>
      <c r="E610" s="2">
        <f t="shared" si="261"/>
        <v>0.40884518799861341</v>
      </c>
      <c r="F610" s="2">
        <f t="shared" si="261"/>
        <v>0.22470972049095717</v>
      </c>
      <c r="G610" s="2">
        <f t="shared" si="261"/>
        <v>0.23496035057739534</v>
      </c>
      <c r="H610" s="2">
        <f t="shared" si="261"/>
        <v>0.30688527212723632</v>
      </c>
      <c r="I610" s="2">
        <f t="shared" si="261"/>
        <v>0.39856280541690703</v>
      </c>
      <c r="J610" s="2">
        <f t="shared" si="261"/>
        <v>0.7565564756933747</v>
      </c>
      <c r="K610" s="2">
        <f t="shared" si="261"/>
        <v>0.49999731692109145</v>
      </c>
      <c r="L610" s="2">
        <f t="shared" si="261"/>
        <v>0.25382254113909691</v>
      </c>
      <c r="M610" s="2">
        <f t="shared" si="261"/>
        <v>0.49928498804075272</v>
      </c>
      <c r="N610" s="2">
        <f t="shared" si="261"/>
        <v>0.27005194961200152</v>
      </c>
      <c r="O610" s="2">
        <f t="shared" si="261"/>
        <v>0.24944341117861327</v>
      </c>
      <c r="P610" s="2">
        <f t="shared" si="261"/>
        <v>0.54578129765833028</v>
      </c>
      <c r="Q610" s="2">
        <f t="shared" si="261"/>
        <v>5.1130050895019416E-2</v>
      </c>
      <c r="R610" s="2">
        <f t="shared" si="261"/>
        <v>7.7348614313105635E-2</v>
      </c>
    </row>
    <row r="611" spans="1:18">
      <c r="A611" s="3" t="s">
        <v>3</v>
      </c>
      <c r="B611" s="2">
        <f t="shared" ref="B611:R611" si="262">(B605-14.731)/(150.611-14.731)</f>
        <v>0.40654241989863354</v>
      </c>
      <c r="C611" s="2">
        <f t="shared" si="262"/>
        <v>0.81416297175950203</v>
      </c>
      <c r="D611" s="2">
        <f t="shared" si="262"/>
        <v>0.2931137929995738</v>
      </c>
      <c r="E611" s="2">
        <f t="shared" si="262"/>
        <v>0.40278271631281198</v>
      </c>
      <c r="F611" s="2">
        <f t="shared" si="262"/>
        <v>0.26783675408364971</v>
      </c>
      <c r="G611" s="2">
        <f t="shared" si="262"/>
        <v>0.20821034845018946</v>
      </c>
      <c r="H611" s="2">
        <f t="shared" si="262"/>
        <v>0.1592266118420283</v>
      </c>
      <c r="I611" s="2">
        <f t="shared" si="262"/>
        <v>0.72632644953761583</v>
      </c>
      <c r="J611" s="2">
        <f t="shared" si="262"/>
        <v>1.9735676543066606E-2</v>
      </c>
      <c r="K611" s="2">
        <f t="shared" si="262"/>
        <v>0.67879552537959909</v>
      </c>
      <c r="L611" s="2">
        <f t="shared" si="262"/>
        <v>0.32912215332317024</v>
      </c>
      <c r="M611" s="2">
        <f t="shared" si="262"/>
        <v>0.39943932427617923</v>
      </c>
      <c r="N611" s="2">
        <f t="shared" si="262"/>
        <v>0.15581171265911367</v>
      </c>
      <c r="O611" s="2">
        <f t="shared" si="262"/>
        <v>0.29225483362810606</v>
      </c>
      <c r="P611" s="2">
        <f t="shared" si="262"/>
        <v>0.38769022318180241</v>
      </c>
      <c r="Q611" s="2">
        <f t="shared" si="262"/>
        <v>0.2437273254451095</v>
      </c>
      <c r="R611" s="2">
        <f t="shared" si="262"/>
        <v>4.4705027817107432E-2</v>
      </c>
    </row>
    <row r="612" spans="1:18">
      <c r="A612" s="3" t="s">
        <v>7</v>
      </c>
      <c r="B612" s="2">
        <f>(B606-58.893)/(79.154-58.893)</f>
        <v>0.83719292501152676</v>
      </c>
      <c r="C612" s="2">
        <f t="shared" ref="C612:R612" si="263">(C606-58.893)/(79.154-58.893)</f>
        <v>0.85769368280524516</v>
      </c>
      <c r="D612" s="2">
        <f t="shared" si="263"/>
        <v>0.90951738351103517</v>
      </c>
      <c r="E612" s="2">
        <f t="shared" si="263"/>
        <v>0.80455783729645258</v>
      </c>
      <c r="F612" s="2">
        <f t="shared" si="263"/>
        <v>0.81745056283789308</v>
      </c>
      <c r="G612" s="2">
        <f t="shared" si="263"/>
        <v>0.89862297023838955</v>
      </c>
      <c r="H612" s="2">
        <f t="shared" si="263"/>
        <v>0.90542445476772093</v>
      </c>
      <c r="I612" s="2">
        <f t="shared" si="263"/>
        <v>0.80170000999156199</v>
      </c>
      <c r="J612" s="2">
        <f t="shared" si="263"/>
        <v>0.99999518478971405</v>
      </c>
      <c r="K612" s="2">
        <f t="shared" si="263"/>
        <v>0.90440122258189259</v>
      </c>
      <c r="L612" s="2">
        <f t="shared" si="263"/>
        <v>0.85047086737586775</v>
      </c>
      <c r="M612" s="2">
        <f t="shared" si="263"/>
        <v>0.90278812713599821</v>
      </c>
      <c r="N612" s="2">
        <f t="shared" si="263"/>
        <v>0.91392330092295537</v>
      </c>
      <c r="O612" s="2">
        <f t="shared" si="263"/>
        <v>0.94298309500048771</v>
      </c>
      <c r="P612" s="2">
        <f t="shared" si="263"/>
        <v>0.93347305468513986</v>
      </c>
      <c r="Q612" s="2">
        <f t="shared" si="263"/>
        <v>0.86575916003471798</v>
      </c>
      <c r="R612" s="2">
        <f t="shared" si="263"/>
        <v>0.82667169053606615</v>
      </c>
    </row>
    <row r="613" spans="1:18">
      <c r="A613" s="4" t="s">
        <v>8</v>
      </c>
      <c r="B613" s="2">
        <f>(B607-33.4)/(119.834-33.4)</f>
        <v>0.81063319989818827</v>
      </c>
      <c r="C613" s="2">
        <f t="shared" ref="C613:R613" si="264">(C607-33.4)/(119.834-33.4)</f>
        <v>0.77356005738482525</v>
      </c>
      <c r="D613" s="2">
        <f t="shared" si="264"/>
        <v>0.79503343591642173</v>
      </c>
      <c r="E613" s="2">
        <f t="shared" si="264"/>
        <v>0.88680403544901332</v>
      </c>
      <c r="F613" s="2">
        <f t="shared" si="264"/>
        <v>0.99788925654256444</v>
      </c>
      <c r="G613" s="2">
        <f t="shared" si="264"/>
        <v>0.81198417289492575</v>
      </c>
      <c r="H613" s="2">
        <f t="shared" si="264"/>
        <v>0.54887752504801346</v>
      </c>
      <c r="I613" s="2">
        <f t="shared" si="264"/>
        <v>0.80511916606890821</v>
      </c>
      <c r="J613" s="2">
        <f t="shared" si="264"/>
        <v>0.75187229562440727</v>
      </c>
      <c r="K613" s="2">
        <f t="shared" si="264"/>
        <v>1.0000053219797764</v>
      </c>
      <c r="L613" s="2">
        <f t="shared" si="264"/>
        <v>0.70391917532452508</v>
      </c>
      <c r="M613" s="2">
        <f t="shared" si="264"/>
        <v>0.83423155239836189</v>
      </c>
      <c r="N613" s="2">
        <f t="shared" si="264"/>
        <v>0.84539255385612155</v>
      </c>
      <c r="O613" s="2">
        <f t="shared" si="264"/>
        <v>0.67430293634449412</v>
      </c>
      <c r="P613" s="2">
        <f t="shared" si="264"/>
        <v>0.74993694610917017</v>
      </c>
      <c r="Q613" s="2">
        <f t="shared" si="264"/>
        <v>0.65885126223476875</v>
      </c>
      <c r="R613" s="2">
        <f t="shared" si="264"/>
        <v>0.71914833448477677</v>
      </c>
    </row>
    <row r="614" spans="1:18">
      <c r="A614" s="4" t="s">
        <v>67</v>
      </c>
      <c r="B614" s="2">
        <f>(B608+B609+B610+B611+B612+B613)/6</f>
        <v>0.64374648141247082</v>
      </c>
      <c r="C614" s="2">
        <f t="shared" ref="C614:R614" si="265">(C608+C609+C610+C611+C612+C613)/6</f>
        <v>0.75281180386006963</v>
      </c>
      <c r="D614" s="2">
        <f t="shared" si="265"/>
        <v>0.614908342212796</v>
      </c>
      <c r="E614" s="2">
        <f t="shared" si="265"/>
        <v>0.66747034646215386</v>
      </c>
      <c r="F614" s="2">
        <f t="shared" si="265"/>
        <v>0.59843273259046248</v>
      </c>
      <c r="G614" s="2">
        <f t="shared" si="265"/>
        <v>0.62744338127256338</v>
      </c>
      <c r="H614" s="2">
        <f t="shared" si="265"/>
        <v>0.5742947163442399</v>
      </c>
      <c r="I614" s="2">
        <f t="shared" si="265"/>
        <v>0.70167539118881861</v>
      </c>
      <c r="J614" s="2">
        <f t="shared" si="265"/>
        <v>0.67429023673912225</v>
      </c>
      <c r="K614" s="2">
        <f t="shared" si="265"/>
        <v>0.77254191226579183</v>
      </c>
      <c r="L614" s="2">
        <f t="shared" si="265"/>
        <v>0.54219477233692126</v>
      </c>
      <c r="M614" s="2">
        <f t="shared" si="265"/>
        <v>0.74257433657798844</v>
      </c>
      <c r="N614" s="2">
        <f t="shared" si="265"/>
        <v>0.57798999088242109</v>
      </c>
      <c r="O614" s="2">
        <f t="shared" si="265"/>
        <v>0.58602837397580421</v>
      </c>
      <c r="P614" s="2">
        <f t="shared" si="265"/>
        <v>0.71766676974251264</v>
      </c>
      <c r="Q614" s="2">
        <f t="shared" si="265"/>
        <v>0.52978267764391507</v>
      </c>
      <c r="R614" s="2">
        <f t="shared" si="265"/>
        <v>0.60632711511380877</v>
      </c>
    </row>
    <row r="616" spans="1:18">
      <c r="A616" s="1" t="s">
        <v>9</v>
      </c>
      <c r="B616" s="2" t="s">
        <v>10</v>
      </c>
      <c r="C616" s="2" t="s">
        <v>11</v>
      </c>
      <c r="D616" s="2" t="s">
        <v>12</v>
      </c>
      <c r="E616" s="2" t="s">
        <v>13</v>
      </c>
      <c r="F616" s="2" t="s">
        <v>14</v>
      </c>
      <c r="G616" s="2" t="s">
        <v>15</v>
      </c>
      <c r="H616" s="2" t="s">
        <v>16</v>
      </c>
      <c r="I616" s="2" t="s">
        <v>17</v>
      </c>
      <c r="J616" s="2" t="s">
        <v>18</v>
      </c>
      <c r="K616" s="2" t="s">
        <v>19</v>
      </c>
      <c r="L616" s="2" t="s">
        <v>20</v>
      </c>
      <c r="M616" s="2" t="s">
        <v>21</v>
      </c>
      <c r="N616" s="2" t="s">
        <v>22</v>
      </c>
      <c r="O616" s="2" t="s">
        <v>23</v>
      </c>
      <c r="P616" s="2" t="s">
        <v>24</v>
      </c>
      <c r="Q616" s="2" t="s">
        <v>25</v>
      </c>
      <c r="R616" s="2" t="s">
        <v>26</v>
      </c>
    </row>
    <row r="617" spans="1:18">
      <c r="B617" s="2">
        <v>1991</v>
      </c>
      <c r="C617" s="2">
        <v>1991</v>
      </c>
      <c r="D617" s="2">
        <v>1991</v>
      </c>
      <c r="E617" s="2">
        <v>1991</v>
      </c>
      <c r="F617" s="2">
        <v>1991</v>
      </c>
      <c r="G617" s="2">
        <v>1991</v>
      </c>
      <c r="H617" s="2">
        <v>1991</v>
      </c>
      <c r="I617" s="2">
        <v>1991</v>
      </c>
      <c r="J617" s="2">
        <v>1991</v>
      </c>
      <c r="K617" s="2">
        <v>1991</v>
      </c>
      <c r="L617" s="2">
        <v>1991</v>
      </c>
      <c r="M617" s="2">
        <v>1991</v>
      </c>
      <c r="N617" s="2">
        <v>1991</v>
      </c>
      <c r="O617" s="2">
        <v>1991</v>
      </c>
      <c r="P617" s="2">
        <v>1991</v>
      </c>
      <c r="Q617" s="2">
        <v>1991</v>
      </c>
      <c r="R617" s="2">
        <v>1991</v>
      </c>
    </row>
    <row r="618" spans="1:18">
      <c r="A618" s="1" t="s">
        <v>0</v>
      </c>
      <c r="B618" s="3">
        <v>8293.2914093244563</v>
      </c>
      <c r="C618" s="3">
        <v>6957.2953384106895</v>
      </c>
      <c r="D618" s="3">
        <v>7330.0421409954452</v>
      </c>
      <c r="E618" s="3">
        <v>1185.6326034115484</v>
      </c>
      <c r="F618" s="3">
        <v>6097.0506336820454</v>
      </c>
      <c r="G618" s="3">
        <v>6225.5364785382581</v>
      </c>
      <c r="H618" s="3">
        <v>1205.2753811460727</v>
      </c>
      <c r="I618" s="3">
        <v>2218.4703057111842</v>
      </c>
      <c r="J618" s="3">
        <v>7329.0353848072964</v>
      </c>
      <c r="K618" s="3">
        <v>10231.140230167186</v>
      </c>
      <c r="L618" s="3">
        <v>4465.1787482935915</v>
      </c>
      <c r="M618" s="3">
        <v>2462.9825662823982</v>
      </c>
      <c r="N618" s="3">
        <v>4261.6177944820884</v>
      </c>
      <c r="O618" s="3">
        <v>4550.5678983717598</v>
      </c>
      <c r="P618" s="3">
        <v>8030.6743067974057</v>
      </c>
      <c r="Q618" s="3">
        <v>7504.7939123467513</v>
      </c>
      <c r="R618" s="3">
        <v>10261.901901062052</v>
      </c>
    </row>
    <row r="619" spans="1:18">
      <c r="A619" s="1" t="s">
        <v>1</v>
      </c>
      <c r="B619" s="2">
        <v>18711</v>
      </c>
      <c r="C619" s="2">
        <v>11934</v>
      </c>
      <c r="D619" s="2">
        <v>19811</v>
      </c>
      <c r="E619" s="2">
        <v>2691</v>
      </c>
      <c r="F619" s="2">
        <v>13560</v>
      </c>
      <c r="G619" s="2">
        <v>13979</v>
      </c>
      <c r="H619" s="2">
        <v>3498</v>
      </c>
      <c r="I619" s="2">
        <v>6427</v>
      </c>
      <c r="J619" s="2">
        <v>14279</v>
      </c>
      <c r="K619" s="2">
        <v>17283</v>
      </c>
      <c r="L619" s="2">
        <v>7959</v>
      </c>
      <c r="M619" s="2">
        <v>6205</v>
      </c>
      <c r="N619" s="2">
        <v>9501</v>
      </c>
      <c r="O619" s="2">
        <v>11347</v>
      </c>
      <c r="P619" s="2">
        <v>15576</v>
      </c>
      <c r="Q619" s="2">
        <v>18448</v>
      </c>
      <c r="R619" s="2">
        <v>27694</v>
      </c>
    </row>
    <row r="620" spans="1:18">
      <c r="A620" s="1" t="s">
        <v>2</v>
      </c>
      <c r="B620" s="2">
        <v>16.234015008235563</v>
      </c>
      <c r="C620" s="2">
        <v>26.871776683861455</v>
      </c>
      <c r="D620" s="2">
        <v>27.006816326479271</v>
      </c>
      <c r="E620" s="2">
        <v>39.17956689129123</v>
      </c>
      <c r="F620" s="2">
        <v>23.383645304572795</v>
      </c>
      <c r="G620" s="2">
        <v>14.373836642539779</v>
      </c>
      <c r="H620" s="2">
        <v>22.492060979649953</v>
      </c>
      <c r="I620" s="2">
        <v>33.249094839418525</v>
      </c>
      <c r="J620" s="2">
        <v>34.130386558385773</v>
      </c>
      <c r="K620" s="2">
        <v>20.421019249161603</v>
      </c>
      <c r="L620" s="2">
        <v>15.445776548051438</v>
      </c>
      <c r="M620" s="2">
        <v>17.227893023378801</v>
      </c>
      <c r="N620" s="2">
        <v>36.298864239838011</v>
      </c>
      <c r="O620" s="2">
        <v>21.033685820696991</v>
      </c>
      <c r="P620" s="2">
        <v>19.918288177955549</v>
      </c>
      <c r="Q620" s="2">
        <v>17.957776566136619</v>
      </c>
      <c r="R620" s="2">
        <v>23.804375451853041</v>
      </c>
    </row>
    <row r="621" spans="1:18">
      <c r="A621" s="1" t="s">
        <v>3</v>
      </c>
      <c r="B621" s="2">
        <v>13.753054146230218</v>
      </c>
      <c r="C621" s="2">
        <v>82.682387619749449</v>
      </c>
      <c r="D621" s="2">
        <v>60.166683333270441</v>
      </c>
      <c r="E621" s="2">
        <v>31.674552780454423</v>
      </c>
      <c r="F621" s="2">
        <v>35.251490935544588</v>
      </c>
      <c r="G621" s="2">
        <v>70.682711690961781</v>
      </c>
      <c r="H621" s="2">
        <v>16.694948350829467</v>
      </c>
      <c r="I621" s="2">
        <v>49.899345874870548</v>
      </c>
      <c r="J621" s="2">
        <v>159.31262449978044</v>
      </c>
      <c r="K621" s="2">
        <v>35.637322419299444</v>
      </c>
      <c r="L621" s="2">
        <v>27.136720716766771</v>
      </c>
      <c r="M621" s="2">
        <v>62.184948690356087</v>
      </c>
      <c r="N621" s="2">
        <v>78.471134444545072</v>
      </c>
      <c r="O621" s="2">
        <v>85.686020218143128</v>
      </c>
      <c r="P621" s="2">
        <v>30.476011673389493</v>
      </c>
      <c r="Q621" s="2">
        <v>38.554904740709183</v>
      </c>
      <c r="R621" s="2">
        <v>57.580168112376917</v>
      </c>
    </row>
    <row r="622" spans="1:18">
      <c r="A622" s="6" t="s">
        <v>27</v>
      </c>
      <c r="B622" s="5">
        <v>71.717926829268293</v>
      </c>
      <c r="C622" s="5">
        <v>71.560975609756099</v>
      </c>
      <c r="D622" s="5">
        <v>73.916414634146363</v>
      </c>
      <c r="E622" s="5">
        <v>69.66402439024391</v>
      </c>
      <c r="F622" s="5">
        <v>68.46012195121952</v>
      </c>
      <c r="G622" s="5">
        <v>75.956853658536588</v>
      </c>
      <c r="H622" s="5">
        <v>58.615682926829273</v>
      </c>
      <c r="I622" s="5">
        <v>62.496902439024396</v>
      </c>
      <c r="J622" s="5">
        <v>70.295829268292692</v>
      </c>
      <c r="K622" s="5">
        <v>71.186341463414649</v>
      </c>
      <c r="L622" s="5">
        <v>66.028170731707334</v>
      </c>
      <c r="M622" s="5">
        <v>65.33736585365854</v>
      </c>
      <c r="N622" s="5">
        <v>72.499780487804884</v>
      </c>
      <c r="O622" s="5">
        <v>70.507317073170739</v>
      </c>
      <c r="P622" s="5">
        <v>63.622829268292698</v>
      </c>
      <c r="Q622" s="5">
        <v>72.663707317073175</v>
      </c>
      <c r="R622" s="5">
        <v>71.249365853658531</v>
      </c>
    </row>
    <row r="623" spans="1:18">
      <c r="A623" s="6" t="s">
        <v>48</v>
      </c>
      <c r="B623" s="5">
        <v>71.591530000000006</v>
      </c>
      <c r="C623" s="5">
        <v>98.0214</v>
      </c>
      <c r="D623" s="5">
        <v>78.184920000000005</v>
      </c>
      <c r="E623" s="5">
        <v>40.388590000000001</v>
      </c>
      <c r="F623" s="5">
        <v>55.60613</v>
      </c>
      <c r="G623" s="5">
        <v>44.759720000000002</v>
      </c>
      <c r="H623" s="5">
        <v>40.573</v>
      </c>
      <c r="I623" s="5">
        <v>43.998440000000002</v>
      </c>
      <c r="J623" s="5">
        <v>55.365729999999999</v>
      </c>
      <c r="K623" s="5">
        <v>53.863289999999999</v>
      </c>
      <c r="L623" s="5">
        <v>67.167860000000005</v>
      </c>
      <c r="M623" s="5">
        <v>71.361620000000002</v>
      </c>
      <c r="N623" s="5">
        <v>30.174980000000001</v>
      </c>
      <c r="O623" s="5">
        <v>44.683019999999999</v>
      </c>
      <c r="P623" s="5">
        <v>51.619770000000003</v>
      </c>
      <c r="Q623" s="5">
        <v>83.955420000000004</v>
      </c>
      <c r="R623" s="5">
        <v>55.917149999999999</v>
      </c>
    </row>
    <row r="624" spans="1:18">
      <c r="A624" s="3" t="s">
        <v>4</v>
      </c>
      <c r="B624" s="2">
        <f>(B618-1205.275)/(33209.13-1205.275)</f>
        <v>0.22147383211567662</v>
      </c>
      <c r="C624" s="2">
        <f t="shared" ref="C624:R624" si="266">(C618-1205.275)/(33209.13-1205.275)</f>
        <v>0.17972898384931099</v>
      </c>
      <c r="D624" s="2">
        <f t="shared" si="266"/>
        <v>0.19137591833844536</v>
      </c>
      <c r="E624" s="2">
        <f t="shared" si="266"/>
        <v>-6.1375095557868501E-4</v>
      </c>
      <c r="F624" s="2">
        <f t="shared" si="266"/>
        <v>0.15284957495533105</v>
      </c>
      <c r="G624" s="2">
        <f t="shared" si="266"/>
        <v>0.1568642739613168</v>
      </c>
      <c r="H624" s="2">
        <f t="shared" si="266"/>
        <v>1.1909380061903753E-8</v>
      </c>
      <c r="I624" s="2">
        <f t="shared" si="266"/>
        <v>3.1658539438801488E-2</v>
      </c>
      <c r="J624" s="2">
        <f t="shared" si="266"/>
        <v>0.19134446099719227</v>
      </c>
      <c r="K624" s="2">
        <f t="shared" si="266"/>
        <v>0.28202431332622857</v>
      </c>
      <c r="L624" s="2">
        <f t="shared" si="266"/>
        <v>0.10185972122088392</v>
      </c>
      <c r="M624" s="2">
        <f t="shared" si="266"/>
        <v>3.9298627189830675E-2</v>
      </c>
      <c r="N624" s="2">
        <f t="shared" si="266"/>
        <v>9.5499207657392796E-2</v>
      </c>
      <c r="O624" s="2">
        <f t="shared" si="266"/>
        <v>0.10452781073941748</v>
      </c>
      <c r="P624" s="2">
        <f t="shared" si="266"/>
        <v>0.21326803620368256</v>
      </c>
      <c r="Q624" s="2">
        <f t="shared" si="266"/>
        <v>0.19683625339343502</v>
      </c>
      <c r="R624" s="2">
        <f t="shared" si="266"/>
        <v>0.2829854997487663</v>
      </c>
    </row>
    <row r="625" spans="1:18">
      <c r="A625" s="3" t="s">
        <v>5</v>
      </c>
      <c r="B625" s="2">
        <f t="shared" ref="B625:R625" si="267">(B619-2691)/(48179-2691)</f>
        <v>0.35218079493492788</v>
      </c>
      <c r="C625" s="2">
        <f t="shared" si="267"/>
        <v>0.20319644741470277</v>
      </c>
      <c r="D625" s="2">
        <f t="shared" si="267"/>
        <v>0.37636299683432994</v>
      </c>
      <c r="E625" s="2">
        <f t="shared" si="267"/>
        <v>0</v>
      </c>
      <c r="F625" s="2">
        <f t="shared" si="267"/>
        <v>0.23894213858600069</v>
      </c>
      <c r="G625" s="2">
        <f t="shared" si="267"/>
        <v>0.24815335912768202</v>
      </c>
      <c r="H625" s="2">
        <f t="shared" si="267"/>
        <v>1.7740942666197679E-2</v>
      </c>
      <c r="I625" s="2">
        <f t="shared" si="267"/>
        <v>8.2131551178332748E-2</v>
      </c>
      <c r="J625" s="2">
        <f t="shared" si="267"/>
        <v>0.25474850510024621</v>
      </c>
      <c r="K625" s="2">
        <f t="shared" si="267"/>
        <v>0.32078790010552233</v>
      </c>
      <c r="L625" s="2">
        <f t="shared" si="267"/>
        <v>0.11581076327822723</v>
      </c>
      <c r="M625" s="2">
        <f t="shared" si="267"/>
        <v>7.7251143158635238E-2</v>
      </c>
      <c r="N625" s="2">
        <f t="shared" si="267"/>
        <v>0.14970981357720717</v>
      </c>
      <c r="O625" s="2">
        <f t="shared" si="267"/>
        <v>0.19029194512838551</v>
      </c>
      <c r="P625" s="2">
        <f t="shared" si="267"/>
        <v>0.28326151952163209</v>
      </c>
      <c r="Q625" s="2">
        <f t="shared" si="267"/>
        <v>0.34639905029897994</v>
      </c>
      <c r="R625" s="2">
        <f t="shared" si="267"/>
        <v>0.54966144917340842</v>
      </c>
    </row>
    <row r="626" spans="1:18">
      <c r="A626" s="3" t="s">
        <v>6</v>
      </c>
      <c r="B626" s="2">
        <f>(B620-14.374)/(39.18-14.374)</f>
        <v>7.4982464252018155E-2</v>
      </c>
      <c r="C626" s="2">
        <f t="shared" ref="C626:R626" si="268">(C620-14.374)/(39.18-14.374)</f>
        <v>0.50382071611148338</v>
      </c>
      <c r="D626" s="2">
        <f t="shared" si="268"/>
        <v>0.50926454593563142</v>
      </c>
      <c r="E626" s="2">
        <f t="shared" si="268"/>
        <v>0.99998254016331656</v>
      </c>
      <c r="F626" s="2">
        <f t="shared" si="268"/>
        <v>0.3632042773753445</v>
      </c>
      <c r="G626" s="2">
        <f t="shared" si="268"/>
        <v>-6.5854011215835793E-6</v>
      </c>
      <c r="H626" s="2">
        <f t="shared" si="268"/>
        <v>0.32726199224582575</v>
      </c>
      <c r="I626" s="2">
        <f t="shared" si="268"/>
        <v>0.76090844309515948</v>
      </c>
      <c r="J626" s="2">
        <f t="shared" si="268"/>
        <v>0.79643580417583537</v>
      </c>
      <c r="K626" s="2">
        <f t="shared" si="268"/>
        <v>0.2437724441329357</v>
      </c>
      <c r="L626" s="2">
        <f t="shared" si="268"/>
        <v>4.320634314486161E-2</v>
      </c>
      <c r="M626" s="2">
        <f t="shared" si="268"/>
        <v>0.11504849727399825</v>
      </c>
      <c r="N626" s="2">
        <f t="shared" si="268"/>
        <v>0.88385327097629651</v>
      </c>
      <c r="O626" s="2">
        <f t="shared" si="268"/>
        <v>0.26847076597182101</v>
      </c>
      <c r="P626" s="2">
        <f t="shared" si="268"/>
        <v>0.22350593315954001</v>
      </c>
      <c r="Q626" s="2">
        <f t="shared" si="268"/>
        <v>0.14447216665873655</v>
      </c>
      <c r="R626" s="2">
        <f t="shared" si="268"/>
        <v>0.38016509924425707</v>
      </c>
    </row>
    <row r="627" spans="1:18">
      <c r="A627" s="3" t="s">
        <v>3</v>
      </c>
      <c r="B627" s="2">
        <f>(B621-13.753)/(159.313-13.753)</f>
        <v>3.7198564315547486E-7</v>
      </c>
      <c r="C627" s="2">
        <f t="shared" ref="C627:R627" si="269">(C621-13.753)/(159.313-13.753)</f>
        <v>0.47354621887709158</v>
      </c>
      <c r="D627" s="2">
        <f t="shared" si="269"/>
        <v>0.3188628973156804</v>
      </c>
      <c r="E627" s="2">
        <f t="shared" si="269"/>
        <v>0.12312141234167644</v>
      </c>
      <c r="F627" s="2">
        <f t="shared" si="269"/>
        <v>0.14769504627332089</v>
      </c>
      <c r="G627" s="2">
        <f t="shared" si="269"/>
        <v>0.39110821441990778</v>
      </c>
      <c r="H627" s="2">
        <f t="shared" si="269"/>
        <v>2.021124176167537E-2</v>
      </c>
      <c r="I627" s="2">
        <f t="shared" si="269"/>
        <v>0.24832609147341678</v>
      </c>
      <c r="J627" s="2">
        <f t="shared" si="269"/>
        <v>0.99999742030626859</v>
      </c>
      <c r="K627" s="2">
        <f t="shared" si="269"/>
        <v>0.15034571598859195</v>
      </c>
      <c r="L627" s="2">
        <f t="shared" si="269"/>
        <v>9.194641877416028E-2</v>
      </c>
      <c r="M627" s="2">
        <f t="shared" si="269"/>
        <v>0.33272841914231993</v>
      </c>
      <c r="N627" s="2">
        <f t="shared" si="269"/>
        <v>0.44461482855554457</v>
      </c>
      <c r="O627" s="2">
        <f t="shared" si="269"/>
        <v>0.49418123260609459</v>
      </c>
      <c r="P627" s="2">
        <f t="shared" si="269"/>
        <v>0.11488741188093908</v>
      </c>
      <c r="Q627" s="2">
        <f t="shared" si="269"/>
        <v>0.17038956265944755</v>
      </c>
      <c r="R627" s="2">
        <f t="shared" si="269"/>
        <v>0.30109348799379582</v>
      </c>
    </row>
    <row r="628" spans="1:18">
      <c r="A628" s="3" t="s">
        <v>7</v>
      </c>
      <c r="B628" s="2">
        <f t="shared" ref="B628:R628" si="270">(B622-58.616)/(79.101-58.616)</f>
        <v>0.6395863719437781</v>
      </c>
      <c r="C628" s="2">
        <f t="shared" si="270"/>
        <v>0.63192460872619471</v>
      </c>
      <c r="D628" s="2">
        <f t="shared" si="270"/>
        <v>0.7469082076712894</v>
      </c>
      <c r="E628" s="2">
        <f t="shared" si="270"/>
        <v>0.53932264536216301</v>
      </c>
      <c r="F628" s="2">
        <f t="shared" si="270"/>
        <v>0.48055269471415774</v>
      </c>
      <c r="G628" s="2">
        <f t="shared" si="270"/>
        <v>0.84651470141745611</v>
      </c>
      <c r="H628" s="2">
        <f t="shared" si="270"/>
        <v>-1.547830953024924E-5</v>
      </c>
      <c r="I628" s="2">
        <f t="shared" si="270"/>
        <v>0.18945093673538668</v>
      </c>
      <c r="J628" s="2">
        <f t="shared" si="270"/>
        <v>0.57016496306041953</v>
      </c>
      <c r="K628" s="2">
        <f t="shared" si="270"/>
        <v>0.61363639069634612</v>
      </c>
      <c r="L628" s="2">
        <f t="shared" si="270"/>
        <v>0.36183406061544227</v>
      </c>
      <c r="M628" s="2">
        <f t="shared" si="270"/>
        <v>0.32811158670532292</v>
      </c>
      <c r="N628" s="2">
        <f t="shared" si="270"/>
        <v>0.67775350196753159</v>
      </c>
      <c r="O628" s="2">
        <f t="shared" si="270"/>
        <v>0.58048899551724387</v>
      </c>
      <c r="P628" s="2">
        <f t="shared" si="270"/>
        <v>0.24441441387809121</v>
      </c>
      <c r="Q628" s="2">
        <f t="shared" si="270"/>
        <v>0.68575578799478532</v>
      </c>
      <c r="R628" s="2">
        <f t="shared" si="270"/>
        <v>0.616713002375325</v>
      </c>
    </row>
    <row r="629" spans="1:18">
      <c r="A629" s="4" t="s">
        <v>8</v>
      </c>
      <c r="B629" s="2">
        <f t="shared" ref="B629:R629" si="271">(B623-30.175)/(117.581-30.175)</f>
        <v>0.47384081184358062</v>
      </c>
      <c r="C629" s="2">
        <f t="shared" si="271"/>
        <v>0.77622131203807521</v>
      </c>
      <c r="D629" s="2">
        <f t="shared" si="271"/>
        <v>0.54927487815481779</v>
      </c>
      <c r="E629" s="2">
        <f t="shared" si="271"/>
        <v>0.11685227558748826</v>
      </c>
      <c r="F629" s="2">
        <f t="shared" si="271"/>
        <v>0.29095405349747155</v>
      </c>
      <c r="G629" s="2">
        <f t="shared" si="271"/>
        <v>0.16686177150310047</v>
      </c>
      <c r="H629" s="2">
        <f t="shared" si="271"/>
        <v>0.11896208498272429</v>
      </c>
      <c r="I629" s="2">
        <f t="shared" si="271"/>
        <v>0.15815207194014141</v>
      </c>
      <c r="J629" s="2">
        <f t="shared" si="271"/>
        <v>0.28820367022858839</v>
      </c>
      <c r="K629" s="2">
        <f t="shared" si="271"/>
        <v>0.27101446124979978</v>
      </c>
      <c r="L629" s="2">
        <f t="shared" si="271"/>
        <v>0.42323021302885389</v>
      </c>
      <c r="M629" s="2">
        <f t="shared" si="271"/>
        <v>0.47121044321900102</v>
      </c>
      <c r="N629" s="2">
        <f t="shared" si="271"/>
        <v>-2.2881724365882028E-7</v>
      </c>
      <c r="O629" s="2">
        <f t="shared" si="271"/>
        <v>0.16598425737363565</v>
      </c>
      <c r="P629" s="2">
        <f t="shared" si="271"/>
        <v>0.24534665812415624</v>
      </c>
      <c r="Q629" s="2">
        <f t="shared" si="271"/>
        <v>0.6152943733839783</v>
      </c>
      <c r="R629" s="2">
        <f t="shared" si="271"/>
        <v>0.29451239045374455</v>
      </c>
    </row>
    <row r="630" spans="1:18">
      <c r="A630" s="3" t="s">
        <v>68</v>
      </c>
      <c r="B630" s="2">
        <f t="shared" ref="B630:R630" si="272">(B624+B625+B626+B627+B628+B629)/6</f>
        <v>0.29367744117927075</v>
      </c>
      <c r="C630" s="2">
        <f t="shared" si="272"/>
        <v>0.46140638116947646</v>
      </c>
      <c r="D630" s="2">
        <f t="shared" si="272"/>
        <v>0.44867490737503241</v>
      </c>
      <c r="E630" s="2">
        <f t="shared" si="272"/>
        <v>0.2964441870831776</v>
      </c>
      <c r="F630" s="2">
        <f t="shared" si="272"/>
        <v>0.27903296423360441</v>
      </c>
      <c r="G630" s="2">
        <f t="shared" si="272"/>
        <v>0.30158262250472362</v>
      </c>
      <c r="H630" s="2">
        <f t="shared" si="272"/>
        <v>8.0693465876045478E-2</v>
      </c>
      <c r="I630" s="2">
        <f t="shared" si="272"/>
        <v>0.24510460564353975</v>
      </c>
      <c r="J630" s="2">
        <f t="shared" si="272"/>
        <v>0.51681580397809179</v>
      </c>
      <c r="K630" s="2">
        <f t="shared" si="272"/>
        <v>0.31359687091657068</v>
      </c>
      <c r="L630" s="2">
        <f t="shared" si="272"/>
        <v>0.18964792001040487</v>
      </c>
      <c r="M630" s="2">
        <f t="shared" si="272"/>
        <v>0.22727478611485133</v>
      </c>
      <c r="N630" s="2">
        <f t="shared" si="272"/>
        <v>0.37523839898612149</v>
      </c>
      <c r="O630" s="2">
        <f t="shared" si="272"/>
        <v>0.30065750122276635</v>
      </c>
      <c r="P630" s="2">
        <f t="shared" si="272"/>
        <v>0.22078066212800684</v>
      </c>
      <c r="Q630" s="2">
        <f t="shared" si="272"/>
        <v>0.35985786573156048</v>
      </c>
      <c r="R630" s="2">
        <f t="shared" si="272"/>
        <v>0.4041884881648829</v>
      </c>
    </row>
    <row r="632" spans="1:18">
      <c r="A632" s="1" t="s">
        <v>9</v>
      </c>
      <c r="B632" s="2" t="s">
        <v>28</v>
      </c>
      <c r="C632" s="2" t="s">
        <v>29</v>
      </c>
      <c r="D632" s="2" t="s">
        <v>30</v>
      </c>
      <c r="E632" s="2" t="s">
        <v>31</v>
      </c>
      <c r="F632" s="2" t="s">
        <v>32</v>
      </c>
      <c r="G632" s="2" t="s">
        <v>33</v>
      </c>
      <c r="H632" s="2" t="s">
        <v>34</v>
      </c>
      <c r="I632" s="2" t="s">
        <v>35</v>
      </c>
      <c r="J632" s="2" t="s">
        <v>36</v>
      </c>
      <c r="K632" s="2" t="s">
        <v>37</v>
      </c>
      <c r="L632" s="2" t="s">
        <v>38</v>
      </c>
      <c r="M632" s="2" t="s">
        <v>39</v>
      </c>
      <c r="N632" s="2" t="s">
        <v>40</v>
      </c>
      <c r="O632" s="2" t="s">
        <v>41</v>
      </c>
      <c r="P632" s="2" t="s">
        <v>42</v>
      </c>
      <c r="Q632" s="2" t="s">
        <v>43</v>
      </c>
      <c r="R632" s="2" t="s">
        <v>44</v>
      </c>
    </row>
    <row r="633" spans="1:18">
      <c r="B633" s="2">
        <v>1991</v>
      </c>
      <c r="C633" s="2">
        <v>1991</v>
      </c>
      <c r="D633" s="2">
        <v>1991</v>
      </c>
      <c r="E633" s="2">
        <v>1991</v>
      </c>
      <c r="F633" s="2">
        <v>1991</v>
      </c>
      <c r="G633" s="2">
        <v>1991</v>
      </c>
      <c r="H633" s="2">
        <v>1991</v>
      </c>
      <c r="I633" s="2">
        <v>1991</v>
      </c>
      <c r="J633" s="2">
        <v>1991</v>
      </c>
      <c r="K633" s="2">
        <v>1991</v>
      </c>
      <c r="L633" s="2">
        <v>1991</v>
      </c>
      <c r="M633" s="2">
        <v>1991</v>
      </c>
      <c r="N633" s="2">
        <v>1991</v>
      </c>
      <c r="O633" s="2">
        <v>1991</v>
      </c>
      <c r="P633" s="2">
        <v>1991</v>
      </c>
      <c r="Q633" s="2">
        <v>1991</v>
      </c>
      <c r="R633" s="2">
        <v>1991</v>
      </c>
    </row>
    <row r="634" spans="1:18">
      <c r="A634" s="1" t="s">
        <v>0</v>
      </c>
      <c r="B634" s="3">
        <v>23480.230084438568</v>
      </c>
      <c r="C634" s="3">
        <v>25461.71533733849</v>
      </c>
      <c r="D634" s="3">
        <v>26021.060334502705</v>
      </c>
      <c r="E634" s="3">
        <v>25706.228564084791</v>
      </c>
      <c r="F634" s="3">
        <v>21634.103775315496</v>
      </c>
      <c r="G634" s="3">
        <v>24401.593814761825</v>
      </c>
      <c r="H634" s="3">
        <v>24079.306735532187</v>
      </c>
      <c r="I634">
        <v>24972.128434819489</v>
      </c>
      <c r="J634" s="3">
        <v>27319.33144146574</v>
      </c>
      <c r="K634" s="3">
        <v>26705.373087515312</v>
      </c>
      <c r="L634" s="3">
        <v>18388.924360663423</v>
      </c>
      <c r="M634" s="3">
        <v>33209.127794607659</v>
      </c>
      <c r="N634" s="3">
        <v>20234.018948828219</v>
      </c>
      <c r="O634" s="3">
        <v>24118.406118203129</v>
      </c>
      <c r="P634" s="3">
        <v>33679.931856943513</v>
      </c>
      <c r="Q634" s="3">
        <v>22063.203222019627</v>
      </c>
      <c r="R634" s="3">
        <v>32504.176378335287</v>
      </c>
    </row>
    <row r="635" spans="1:18">
      <c r="A635" s="1" t="s">
        <v>1</v>
      </c>
      <c r="B635" s="2">
        <v>37137</v>
      </c>
      <c r="C635" s="2">
        <v>45253</v>
      </c>
      <c r="D635" s="2">
        <v>39697</v>
      </c>
      <c r="E635" s="2">
        <v>36553</v>
      </c>
      <c r="F635" s="2">
        <v>33775</v>
      </c>
      <c r="G635" s="2">
        <v>43915</v>
      </c>
      <c r="H635" s="2">
        <v>40806</v>
      </c>
      <c r="I635" s="2">
        <v>36070</v>
      </c>
      <c r="J635" s="2">
        <v>36630</v>
      </c>
      <c r="K635" s="2">
        <v>38743</v>
      </c>
      <c r="L635" s="2">
        <v>30405</v>
      </c>
      <c r="M635" s="2">
        <v>39630</v>
      </c>
      <c r="N635" s="2">
        <v>34830</v>
      </c>
      <c r="O635" s="2">
        <v>33256</v>
      </c>
      <c r="P635" s="2">
        <v>35702</v>
      </c>
      <c r="Q635" s="2">
        <v>35616</v>
      </c>
      <c r="R635" s="2">
        <v>48179</v>
      </c>
    </row>
    <row r="636" spans="1:18">
      <c r="A636" s="1" t="s">
        <v>2</v>
      </c>
      <c r="B636" s="2">
        <v>24.875976937931451</v>
      </c>
      <c r="C636" s="2">
        <v>23.448286679521313</v>
      </c>
      <c r="D636" s="2">
        <v>18.210243562937816</v>
      </c>
      <c r="E636" s="2">
        <v>24.10280398415761</v>
      </c>
      <c r="F636" s="2">
        <v>21.169484961920741</v>
      </c>
      <c r="G636" s="2">
        <v>20.460718800120244</v>
      </c>
      <c r="H636" s="2">
        <v>22.391059380531988</v>
      </c>
      <c r="I636" s="2">
        <v>24.151457451925861</v>
      </c>
      <c r="J636" s="2">
        <v>33.78582562565618</v>
      </c>
      <c r="K636" s="2">
        <v>26.699174356483731</v>
      </c>
      <c r="L636" s="2">
        <v>19.744561389140742</v>
      </c>
      <c r="M636" s="2">
        <v>28.180016938948881</v>
      </c>
      <c r="N636" s="2">
        <v>22.230876143293759</v>
      </c>
      <c r="O636" s="2">
        <v>21.810931639245513</v>
      </c>
      <c r="P636" s="2">
        <v>29.213083458431356</v>
      </c>
      <c r="Q636" s="2">
        <v>16.520619245520024</v>
      </c>
      <c r="R636" s="2">
        <v>15.836241927597081</v>
      </c>
    </row>
    <row r="637" spans="1:18">
      <c r="A637" s="1" t="s">
        <v>3</v>
      </c>
      <c r="B637" s="2">
        <v>72.476011133375536</v>
      </c>
      <c r="C637" s="2">
        <v>129.19687848013629</v>
      </c>
      <c r="D637" s="2">
        <v>50.812776220623398</v>
      </c>
      <c r="E637" s="2">
        <v>71.653077726299031</v>
      </c>
      <c r="F637" s="2">
        <v>44.277550254057289</v>
      </c>
      <c r="G637" s="2">
        <v>44.02916799698275</v>
      </c>
      <c r="H637" s="2">
        <v>35.288444286532084</v>
      </c>
      <c r="I637" s="2">
        <v>110.20317360609282</v>
      </c>
      <c r="J637" s="2">
        <v>18.176187185219973</v>
      </c>
      <c r="K637" s="2">
        <v>110.2243807673628</v>
      </c>
      <c r="L637" s="2">
        <v>54.809407924091488</v>
      </c>
      <c r="M637" s="2">
        <v>71.997236141065088</v>
      </c>
      <c r="N637" s="2">
        <v>35.394285926377975</v>
      </c>
      <c r="O637" s="2">
        <v>54.714520413668431</v>
      </c>
      <c r="P637" s="2">
        <v>67.811476737474948</v>
      </c>
      <c r="Q637" s="2">
        <v>46.977102347894643</v>
      </c>
      <c r="R637" s="2">
        <v>20.572613688097526</v>
      </c>
    </row>
    <row r="638" spans="1:18">
      <c r="A638" s="6" t="s">
        <v>27</v>
      </c>
      <c r="B638" s="2">
        <v>75.567804878048776</v>
      </c>
      <c r="C638" s="2">
        <v>76.070731707317094</v>
      </c>
      <c r="D638" s="2">
        <v>77.55341463414635</v>
      </c>
      <c r="E638" s="2">
        <v>75.157804878048793</v>
      </c>
      <c r="F638" s="2">
        <v>75.227560975609762</v>
      </c>
      <c r="G638" s="2">
        <v>76.848780487804888</v>
      </c>
      <c r="H638" s="2">
        <v>76.878048780487802</v>
      </c>
      <c r="I638" s="2">
        <v>74.950536585365853</v>
      </c>
      <c r="J638" s="2">
        <v>79.100731707317081</v>
      </c>
      <c r="K638" s="2">
        <v>77.000000000000014</v>
      </c>
      <c r="L638" s="2">
        <v>76.031707317073185</v>
      </c>
      <c r="M638" s="2">
        <v>76.980731707317076</v>
      </c>
      <c r="N638" s="2">
        <v>76.971219512195134</v>
      </c>
      <c r="O638" s="2">
        <v>77.666829268292688</v>
      </c>
      <c r="P638" s="2">
        <v>77.51463414634145</v>
      </c>
      <c r="Q638" s="2">
        <v>76.082926829268317</v>
      </c>
      <c r="R638" s="2">
        <v>75.365853658536594</v>
      </c>
    </row>
    <row r="639" spans="1:18">
      <c r="A639" s="6" t="s">
        <v>8</v>
      </c>
      <c r="B639" s="2">
        <v>101.58364</v>
      </c>
      <c r="C639" s="2">
        <v>99.206540000000004</v>
      </c>
      <c r="D639" s="2">
        <v>100.78158999999999</v>
      </c>
      <c r="E639" s="2">
        <v>109.45025</v>
      </c>
      <c r="F639" s="2">
        <v>116.39576</v>
      </c>
      <c r="G639" s="2">
        <v>99.737809999999996</v>
      </c>
      <c r="H639" s="2">
        <v>79.404600000000002</v>
      </c>
      <c r="I639" s="2">
        <v>100.00694</v>
      </c>
      <c r="J639" s="2">
        <v>97.683019999999999</v>
      </c>
      <c r="K639" s="2">
        <v>117.58086</v>
      </c>
      <c r="L639" s="2">
        <v>91.780529999999999</v>
      </c>
      <c r="M639" s="2">
        <v>102.97758</v>
      </c>
      <c r="N639" s="2">
        <v>104.1281</v>
      </c>
      <c r="O639" s="2">
        <v>90.206800000000001</v>
      </c>
      <c r="P639" s="2">
        <v>96.821129999999997</v>
      </c>
      <c r="Q639" s="2">
        <v>86.868030000000005</v>
      </c>
      <c r="R639" s="2">
        <v>94.241410000000002</v>
      </c>
    </row>
    <row r="640" spans="1:18">
      <c r="A640" s="3" t="s">
        <v>4</v>
      </c>
      <c r="B640" s="2">
        <f t="shared" ref="B640:R640" si="273">(B634-1205.275)/(33209.13-1205.275)</f>
        <v>0.69600849911482754</v>
      </c>
      <c r="C640" s="2">
        <f t="shared" si="273"/>
        <v>0.75792245457112872</v>
      </c>
      <c r="D640" s="2">
        <f t="shared" si="273"/>
        <v>0.77539988024888584</v>
      </c>
      <c r="E640" s="2">
        <f t="shared" si="273"/>
        <v>0.76556257251149251</v>
      </c>
      <c r="F640" s="2">
        <f t="shared" si="273"/>
        <v>0.63832400113409771</v>
      </c>
      <c r="G640" s="2">
        <f t="shared" si="273"/>
        <v>0.72479764749471043</v>
      </c>
      <c r="H640" s="2">
        <f t="shared" si="273"/>
        <v>0.71472738942018665</v>
      </c>
      <c r="I640" s="2">
        <f t="shared" si="273"/>
        <v>0.74262470676796566</v>
      </c>
      <c r="J640" s="2">
        <f t="shared" si="273"/>
        <v>0.8159659653959106</v>
      </c>
      <c r="K640" s="2">
        <f t="shared" si="273"/>
        <v>0.79678207789390731</v>
      </c>
      <c r="L640" s="2">
        <f t="shared" si="273"/>
        <v>0.53692435991424858</v>
      </c>
      <c r="M640" s="2">
        <f t="shared" si="273"/>
        <v>0.99999993108979091</v>
      </c>
      <c r="N640" s="2">
        <f t="shared" si="273"/>
        <v>0.59457662049863125</v>
      </c>
      <c r="O640" s="2">
        <f t="shared" si="273"/>
        <v>0.71594909795095407</v>
      </c>
      <c r="P640" s="2">
        <f t="shared" si="273"/>
        <v>1.0147107858395032</v>
      </c>
      <c r="Q640" s="2">
        <f t="shared" si="273"/>
        <v>0.65173174362962305</v>
      </c>
      <c r="R640" s="2">
        <f t="shared" si="273"/>
        <v>0.97797285290585434</v>
      </c>
    </row>
    <row r="641" spans="1:18">
      <c r="A641" s="3" t="s">
        <v>5</v>
      </c>
      <c r="B641" s="2">
        <f>(B635-2691)/(48179-2691)</f>
        <v>0.7572546605698206</v>
      </c>
      <c r="C641" s="2">
        <f t="shared" ref="C641:R641" si="274">(C635-2691)/(48179-2691)</f>
        <v>0.93567534294759058</v>
      </c>
      <c r="D641" s="2">
        <f t="shared" si="274"/>
        <v>0.81353323953570167</v>
      </c>
      <c r="E641" s="2">
        <f t="shared" si="274"/>
        <v>0.74441610974322903</v>
      </c>
      <c r="F641" s="2">
        <f t="shared" si="274"/>
        <v>0.68334505803728451</v>
      </c>
      <c r="G641" s="2">
        <f t="shared" si="274"/>
        <v>0.90626099190995424</v>
      </c>
      <c r="H641" s="2">
        <f t="shared" si="274"/>
        <v>0.83791329581428065</v>
      </c>
      <c r="I641" s="2">
        <f t="shared" si="274"/>
        <v>0.73379792472740069</v>
      </c>
      <c r="J641" s="2">
        <f t="shared" si="274"/>
        <v>0.74610886387618713</v>
      </c>
      <c r="K641" s="2">
        <f t="shared" si="274"/>
        <v>0.79256067534294761</v>
      </c>
      <c r="L641" s="2">
        <f t="shared" si="274"/>
        <v>0.60925958494548016</v>
      </c>
      <c r="M641" s="2">
        <f t="shared" si="274"/>
        <v>0.812060323601829</v>
      </c>
      <c r="N641" s="2">
        <f t="shared" si="274"/>
        <v>0.70653798804080192</v>
      </c>
      <c r="O641" s="2">
        <f t="shared" si="274"/>
        <v>0.67193545550474854</v>
      </c>
      <c r="P641" s="2">
        <f t="shared" si="274"/>
        <v>0.72570787900105527</v>
      </c>
      <c r="Q641" s="2">
        <f t="shared" si="274"/>
        <v>0.72381727048892019</v>
      </c>
      <c r="R641" s="2">
        <f t="shared" si="274"/>
        <v>1</v>
      </c>
    </row>
    <row r="642" spans="1:18">
      <c r="A642" s="3" t="s">
        <v>6</v>
      </c>
      <c r="B642" s="2">
        <f t="shared" ref="B642:R642" si="275">(B636-14.374)/(39.18-14.374)</f>
        <v>0.42336438514599095</v>
      </c>
      <c r="C642" s="2">
        <f t="shared" si="275"/>
        <v>0.36581015397570399</v>
      </c>
      <c r="D642" s="2">
        <f t="shared" si="275"/>
        <v>0.15464982516076012</v>
      </c>
      <c r="E642" s="2">
        <f t="shared" si="275"/>
        <v>0.39219559720058095</v>
      </c>
      <c r="F642" s="2">
        <f t="shared" si="275"/>
        <v>0.27394521333228822</v>
      </c>
      <c r="G642" s="2">
        <f t="shared" si="275"/>
        <v>0.24537284528421527</v>
      </c>
      <c r="H642" s="2">
        <f t="shared" si="275"/>
        <v>0.32319033219914489</v>
      </c>
      <c r="I642" s="2">
        <f t="shared" si="275"/>
        <v>0.39415695605602924</v>
      </c>
      <c r="J642" s="2">
        <f t="shared" si="275"/>
        <v>0.78254557871709185</v>
      </c>
      <c r="K642" s="2">
        <f t="shared" si="275"/>
        <v>0.49686262825460498</v>
      </c>
      <c r="L642" s="2">
        <f t="shared" si="275"/>
        <v>0.21650251508267121</v>
      </c>
      <c r="M642" s="2">
        <f t="shared" si="275"/>
        <v>0.55655957989796345</v>
      </c>
      <c r="N642" s="2">
        <f t="shared" si="275"/>
        <v>0.31673289298128515</v>
      </c>
      <c r="O642" s="2">
        <f t="shared" si="275"/>
        <v>0.29980374261249348</v>
      </c>
      <c r="P642" s="2">
        <f t="shared" si="275"/>
        <v>0.59820541233698932</v>
      </c>
      <c r="Q642" s="2">
        <f t="shared" si="275"/>
        <v>8.6536291442393914E-2</v>
      </c>
      <c r="R642" s="2">
        <f t="shared" si="275"/>
        <v>5.8947106651498861E-2</v>
      </c>
    </row>
    <row r="643" spans="1:18">
      <c r="A643" s="3" t="s">
        <v>3</v>
      </c>
      <c r="B643" s="2">
        <f t="shared" ref="B643:R643" si="276">(B637-13.753)/(159.313-13.753)</f>
        <v>0.40342821608529494</v>
      </c>
      <c r="C643" s="2">
        <f t="shared" si="276"/>
        <v>0.79310166584320063</v>
      </c>
      <c r="D643" s="2">
        <f t="shared" si="276"/>
        <v>0.25460137551953421</v>
      </c>
      <c r="E643" s="2">
        <f t="shared" si="276"/>
        <v>0.39777464774868804</v>
      </c>
      <c r="F643" s="2">
        <f t="shared" si="276"/>
        <v>0.20970424741726634</v>
      </c>
      <c r="G643" s="2">
        <f t="shared" si="276"/>
        <v>0.20799785653326977</v>
      </c>
      <c r="H643" s="2">
        <f t="shared" si="276"/>
        <v>0.14794891650544162</v>
      </c>
      <c r="I643" s="2">
        <f t="shared" si="276"/>
        <v>0.66261454799459207</v>
      </c>
      <c r="J643" s="2">
        <f t="shared" si="276"/>
        <v>3.0387381047128147E-2</v>
      </c>
      <c r="K643" s="2">
        <f t="shared" si="276"/>
        <v>0.66276024160045888</v>
      </c>
      <c r="L643" s="2">
        <f t="shared" si="276"/>
        <v>0.28205831220178268</v>
      </c>
      <c r="M643" s="2">
        <f t="shared" si="276"/>
        <v>0.40013902267838064</v>
      </c>
      <c r="N643" s="2">
        <f t="shared" si="276"/>
        <v>0.14867605060715838</v>
      </c>
      <c r="O643" s="2">
        <f t="shared" si="276"/>
        <v>0.28140643317991504</v>
      </c>
      <c r="P643" s="2">
        <f t="shared" si="276"/>
        <v>0.37138277505822304</v>
      </c>
      <c r="Q643" s="2">
        <f t="shared" si="276"/>
        <v>0.22825022223065844</v>
      </c>
      <c r="R643" s="2">
        <f t="shared" si="276"/>
        <v>4.685087721968622E-2</v>
      </c>
    </row>
    <row r="644" spans="1:18">
      <c r="A644" s="3" t="s">
        <v>7</v>
      </c>
      <c r="B644" s="2">
        <f>(B638-58.616)/(79.101-58.616)</f>
        <v>0.82752281562356733</v>
      </c>
      <c r="C644" s="2">
        <f t="shared" ref="C644:R644" si="277">(C638-58.616)/(79.101-58.616)</f>
        <v>0.8520737958172856</v>
      </c>
      <c r="D644" s="2">
        <f t="shared" si="277"/>
        <v>0.92445275246015868</v>
      </c>
      <c r="E644" s="2">
        <f t="shared" si="277"/>
        <v>0.80750817076147396</v>
      </c>
      <c r="F644" s="2">
        <f t="shared" si="277"/>
        <v>0.81091339885817737</v>
      </c>
      <c r="G644" s="2">
        <f t="shared" si="277"/>
        <v>0.89005518612667267</v>
      </c>
      <c r="H644" s="2">
        <f t="shared" si="277"/>
        <v>0.89148395316025397</v>
      </c>
      <c r="I644" s="2">
        <f t="shared" si="277"/>
        <v>0.79739011888532363</v>
      </c>
      <c r="J644" s="2">
        <f t="shared" si="277"/>
        <v>0.99998690296885928</v>
      </c>
      <c r="K644" s="2">
        <f t="shared" si="277"/>
        <v>0.89743714913351302</v>
      </c>
      <c r="L644" s="2">
        <f t="shared" si="277"/>
        <v>0.8501687731058426</v>
      </c>
      <c r="M644" s="2">
        <f t="shared" si="277"/>
        <v>0.89649654416973767</v>
      </c>
      <c r="N644" s="2">
        <f t="shared" si="277"/>
        <v>0.89603219488382402</v>
      </c>
      <c r="O644" s="2">
        <f t="shared" si="277"/>
        <v>0.92998922471528866</v>
      </c>
      <c r="P644" s="2">
        <f t="shared" si="277"/>
        <v>0.9225596361406615</v>
      </c>
      <c r="Q644" s="2">
        <f t="shared" si="277"/>
        <v>0.85266911541461154</v>
      </c>
      <c r="R644" s="2">
        <f t="shared" si="277"/>
        <v>0.81766432309185233</v>
      </c>
    </row>
    <row r="645" spans="1:18">
      <c r="A645" s="4" t="s">
        <v>8</v>
      </c>
      <c r="B645" s="2">
        <f>(B639-30.175)/(117.581-30.175)</f>
        <v>0.81697640894217793</v>
      </c>
      <c r="C645" s="2">
        <f t="shared" ref="C645:R645" si="278">(C639-30.175)/(117.581-30.175)</f>
        <v>0.78978033544607928</v>
      </c>
      <c r="D645" s="2">
        <f t="shared" si="278"/>
        <v>0.80780026542800254</v>
      </c>
      <c r="E645" s="2">
        <f t="shared" si="278"/>
        <v>0.9069772098025306</v>
      </c>
      <c r="F645" s="2">
        <f t="shared" si="278"/>
        <v>0.9864398325057776</v>
      </c>
      <c r="G645" s="2">
        <f t="shared" si="278"/>
        <v>0.79585852229824028</v>
      </c>
      <c r="H645" s="2">
        <f t="shared" si="278"/>
        <v>0.56322906894263558</v>
      </c>
      <c r="I645" s="2">
        <f t="shared" si="278"/>
        <v>0.79893760153765181</v>
      </c>
      <c r="J645" s="2">
        <f t="shared" si="278"/>
        <v>0.77234995309246501</v>
      </c>
      <c r="K645" s="2">
        <f t="shared" si="278"/>
        <v>0.99999839827929426</v>
      </c>
      <c r="L645" s="2">
        <f t="shared" si="278"/>
        <v>0.70482037846372103</v>
      </c>
      <c r="M645" s="2">
        <f t="shared" si="278"/>
        <v>0.8329242843740704</v>
      </c>
      <c r="N645" s="2">
        <f t="shared" si="278"/>
        <v>0.84608722513328605</v>
      </c>
      <c r="O645" s="2">
        <f t="shared" si="278"/>
        <v>0.68681555041987963</v>
      </c>
      <c r="P645" s="2">
        <f t="shared" si="278"/>
        <v>0.7624891883852366</v>
      </c>
      <c r="Q645" s="2">
        <f t="shared" si="278"/>
        <v>0.64861714298789563</v>
      </c>
      <c r="R645" s="2">
        <f t="shared" si="278"/>
        <v>0.73297496739354273</v>
      </c>
    </row>
    <row r="646" spans="1:18">
      <c r="A646" s="4" t="s">
        <v>68</v>
      </c>
      <c r="B646" s="2">
        <f>(B640+B641+B642+B643+B644+B645)/6</f>
        <v>0.65409249758027987</v>
      </c>
      <c r="C646" s="2">
        <f t="shared" ref="C646:R646" si="279">(C640+C641+C642+C643+C644+C645)/6</f>
        <v>0.74906062476683155</v>
      </c>
      <c r="D646" s="2">
        <f t="shared" si="279"/>
        <v>0.62173955639217382</v>
      </c>
      <c r="E646" s="2">
        <f t="shared" si="279"/>
        <v>0.66907238462799912</v>
      </c>
      <c r="F646" s="2">
        <f t="shared" si="279"/>
        <v>0.6004452918808153</v>
      </c>
      <c r="G646" s="2">
        <f t="shared" si="279"/>
        <v>0.62839050827451037</v>
      </c>
      <c r="H646" s="2">
        <f t="shared" si="279"/>
        <v>0.57974882600699063</v>
      </c>
      <c r="I646" s="2">
        <f t="shared" si="279"/>
        <v>0.68825364266149391</v>
      </c>
      <c r="J646" s="2">
        <f t="shared" si="279"/>
        <v>0.69122410751627361</v>
      </c>
      <c r="K646" s="2">
        <f t="shared" si="279"/>
        <v>0.77440019508412095</v>
      </c>
      <c r="L646" s="2">
        <f t="shared" si="279"/>
        <v>0.53328898728562435</v>
      </c>
      <c r="M646" s="2">
        <f t="shared" si="279"/>
        <v>0.74969661430196199</v>
      </c>
      <c r="N646" s="2">
        <f t="shared" si="279"/>
        <v>0.58477382869083117</v>
      </c>
      <c r="O646" s="2">
        <f t="shared" si="279"/>
        <v>0.59764991739721329</v>
      </c>
      <c r="P646" s="2">
        <f t="shared" si="279"/>
        <v>0.73250927946027822</v>
      </c>
      <c r="Q646" s="2">
        <f t="shared" si="279"/>
        <v>0.53193696436568383</v>
      </c>
      <c r="R646" s="2">
        <f t="shared" si="279"/>
        <v>0.60573502121040568</v>
      </c>
    </row>
    <row r="648" spans="1:18">
      <c r="A648" s="1" t="s">
        <v>9</v>
      </c>
      <c r="B648" s="2" t="s">
        <v>10</v>
      </c>
      <c r="C648" s="2" t="s">
        <v>11</v>
      </c>
      <c r="D648" s="2" t="s">
        <v>12</v>
      </c>
      <c r="E648" s="2" t="s">
        <v>13</v>
      </c>
      <c r="F648" s="2" t="s">
        <v>14</v>
      </c>
      <c r="G648" s="2" t="s">
        <v>15</v>
      </c>
      <c r="H648" s="2" t="s">
        <v>16</v>
      </c>
      <c r="I648" s="2" t="s">
        <v>17</v>
      </c>
      <c r="J648" s="2" t="s">
        <v>18</v>
      </c>
      <c r="K648" s="2" t="s">
        <v>19</v>
      </c>
      <c r="L648" s="2" t="s">
        <v>20</v>
      </c>
      <c r="M648" s="2" t="s">
        <v>21</v>
      </c>
      <c r="N648" s="2" t="s">
        <v>22</v>
      </c>
      <c r="O648" s="2" t="s">
        <v>23</v>
      </c>
      <c r="P648" s="2" t="s">
        <v>24</v>
      </c>
      <c r="Q648" s="2" t="s">
        <v>25</v>
      </c>
      <c r="R648" s="2" t="s">
        <v>26</v>
      </c>
    </row>
    <row r="649" spans="1:18">
      <c r="B649" s="2">
        <v>1990</v>
      </c>
      <c r="C649" s="2">
        <v>1990</v>
      </c>
      <c r="D649" s="2">
        <v>1990</v>
      </c>
      <c r="E649" s="2">
        <v>1990</v>
      </c>
      <c r="F649" s="2">
        <v>1990</v>
      </c>
      <c r="G649" s="2">
        <v>1990</v>
      </c>
      <c r="H649" s="2">
        <v>1990</v>
      </c>
      <c r="I649" s="2">
        <v>1990</v>
      </c>
      <c r="J649" s="2">
        <v>1990</v>
      </c>
      <c r="K649" s="2">
        <v>1990</v>
      </c>
      <c r="L649" s="2">
        <v>1990</v>
      </c>
      <c r="M649" s="2">
        <v>1990</v>
      </c>
      <c r="N649" s="2">
        <v>1990</v>
      </c>
      <c r="O649" s="2">
        <v>1990</v>
      </c>
      <c r="P649" s="2">
        <v>1990</v>
      </c>
      <c r="Q649" s="2">
        <v>1990</v>
      </c>
      <c r="R649" s="2">
        <v>1990</v>
      </c>
    </row>
    <row r="650" spans="1:18">
      <c r="A650" s="1" t="s">
        <v>0</v>
      </c>
      <c r="B650" s="3">
        <v>7462.31033584133</v>
      </c>
      <c r="C650" s="3">
        <v>7524.1716092907354</v>
      </c>
      <c r="D650" s="3">
        <v>6913.5762359323717</v>
      </c>
      <c r="E650" s="3">
        <v>1100.6599312861044</v>
      </c>
      <c r="F650" s="3">
        <v>6077.6972495776245</v>
      </c>
      <c r="G650" s="3">
        <v>6222.0865727788187</v>
      </c>
      <c r="H650" s="3">
        <v>1216.6343603689506</v>
      </c>
      <c r="I650" s="3">
        <v>2072.5921536034994</v>
      </c>
      <c r="J650" s="3">
        <v>6873.678842551396</v>
      </c>
      <c r="K650" s="3">
        <v>10023.430328757642</v>
      </c>
      <c r="L650" s="3">
        <v>4459.109097176226</v>
      </c>
      <c r="M650" s="3">
        <v>2538.404417171872</v>
      </c>
      <c r="N650" s="3">
        <v>3967.3886436534199</v>
      </c>
      <c r="O650" s="3">
        <v>4467.5394859552525</v>
      </c>
      <c r="P650" s="3">
        <v>8108.6007992955383</v>
      </c>
      <c r="Q650" s="3">
        <v>7299.5541844476857</v>
      </c>
      <c r="R650" s="3">
        <v>9578.4257716847442</v>
      </c>
    </row>
    <row r="651" spans="1:18">
      <c r="A651" s="1" t="s">
        <v>1</v>
      </c>
      <c r="B651" s="2">
        <v>17310</v>
      </c>
      <c r="C651" s="2">
        <v>11334</v>
      </c>
      <c r="D651" s="2">
        <v>18988</v>
      </c>
      <c r="E651" s="2">
        <v>2562</v>
      </c>
      <c r="F651" s="2">
        <v>14356</v>
      </c>
      <c r="G651" s="2">
        <v>14018</v>
      </c>
      <c r="H651" s="2">
        <v>3531</v>
      </c>
      <c r="I651" s="2">
        <v>5945</v>
      </c>
      <c r="J651" s="2">
        <v>13435</v>
      </c>
      <c r="K651" s="2">
        <v>17144</v>
      </c>
      <c r="L651" s="2">
        <v>8036</v>
      </c>
      <c r="M651" s="2">
        <v>6439</v>
      </c>
      <c r="N651" s="2">
        <v>8537</v>
      </c>
      <c r="O651" s="2">
        <v>11279</v>
      </c>
      <c r="P651" s="2">
        <v>16041</v>
      </c>
      <c r="Q651" s="2">
        <v>17695</v>
      </c>
      <c r="R651" s="2">
        <v>26050</v>
      </c>
    </row>
    <row r="652" spans="1:18">
      <c r="A652" s="1" t="s">
        <v>2</v>
      </c>
      <c r="B652" s="2">
        <v>19.725197989381137</v>
      </c>
      <c r="C652" s="2">
        <v>21.959611236099182</v>
      </c>
      <c r="D652" s="2">
        <v>28.61900101607544</v>
      </c>
      <c r="E652" s="2">
        <v>39.131212044455154</v>
      </c>
      <c r="F652" s="2">
        <v>24.249020885122206</v>
      </c>
      <c r="G652" s="2">
        <v>12.41517268433288</v>
      </c>
      <c r="H652" s="2">
        <v>23.533350889990853</v>
      </c>
      <c r="I652" s="2">
        <v>32.263379431903807</v>
      </c>
      <c r="J652" s="2">
        <v>34.479891829085275</v>
      </c>
      <c r="K652" s="2">
        <v>22.037017783126505</v>
      </c>
      <c r="L652" s="2">
        <v>18.409185672969947</v>
      </c>
      <c r="M652" s="2">
        <v>18.383326974472656</v>
      </c>
      <c r="N652" s="2">
        <v>33.835256423416212</v>
      </c>
      <c r="O652" s="2">
        <v>20.020895549987518</v>
      </c>
      <c r="P652" s="2">
        <v>20.336477720206727</v>
      </c>
      <c r="Q652" s="2">
        <v>17.636625643103368</v>
      </c>
      <c r="R652" s="2">
        <v>29.485872833343791</v>
      </c>
    </row>
    <row r="653" spans="1:18">
      <c r="A653" s="1" t="s">
        <v>3</v>
      </c>
      <c r="B653" s="2">
        <v>14.990858999944138</v>
      </c>
      <c r="C653" s="2">
        <v>69.847062868672907</v>
      </c>
      <c r="D653" s="2">
        <v>64.535703822686358</v>
      </c>
      <c r="E653" s="2">
        <v>29.159215439696588</v>
      </c>
      <c r="F653" s="2">
        <v>35.386379382287686</v>
      </c>
      <c r="G653" s="2">
        <v>66.500587644449581</v>
      </c>
      <c r="H653" s="2">
        <v>15.239015900576803</v>
      </c>
      <c r="I653" s="2">
        <v>49.061893155894474</v>
      </c>
      <c r="J653" s="2">
        <v>146.96382940447867</v>
      </c>
      <c r="K653" s="2">
        <v>38.306182775149566</v>
      </c>
      <c r="L653" s="2">
        <v>29.598002114924732</v>
      </c>
      <c r="M653" s="2">
        <v>60.800269578560709</v>
      </c>
      <c r="N653" s="2">
        <v>75.782363972755832</v>
      </c>
      <c r="O653" s="2">
        <v>94.161265567647035</v>
      </c>
      <c r="P653" s="2">
        <v>30.942995500434794</v>
      </c>
      <c r="Q653" s="2">
        <v>41.628472119091406</v>
      </c>
      <c r="R653" s="2">
        <v>59.63410947671197</v>
      </c>
    </row>
    <row r="654" spans="1:18">
      <c r="A654" s="6" t="s">
        <v>27</v>
      </c>
      <c r="B654" s="5">
        <v>71.498292682926845</v>
      </c>
      <c r="C654" s="5">
        <v>71.64146341463416</v>
      </c>
      <c r="D654" s="5">
        <v>73.603560975609767</v>
      </c>
      <c r="E654" s="5">
        <v>69.459731707317076</v>
      </c>
      <c r="F654" s="5">
        <v>68.305536585365843</v>
      </c>
      <c r="G654" s="5">
        <v>75.747000000000014</v>
      </c>
      <c r="H654" s="5">
        <v>58.352853658536588</v>
      </c>
      <c r="I654" s="5">
        <v>62.103853658536593</v>
      </c>
      <c r="J654" s="5">
        <v>70.065365853658548</v>
      </c>
      <c r="K654" s="5">
        <v>70.791097560975615</v>
      </c>
      <c r="L654" s="5">
        <v>65.549512195121949</v>
      </c>
      <c r="M654" s="5">
        <v>65.15939024390245</v>
      </c>
      <c r="N654" s="5">
        <v>72.470926829268308</v>
      </c>
      <c r="O654" s="5">
        <v>70.307317073170736</v>
      </c>
      <c r="P654" s="5">
        <v>63.060463414634157</v>
      </c>
      <c r="Q654" s="5">
        <v>72.484682926829279</v>
      </c>
      <c r="R654" s="5">
        <v>71.062365853658534</v>
      </c>
    </row>
    <row r="655" spans="1:18">
      <c r="A655" s="6" t="s">
        <v>48</v>
      </c>
      <c r="B655" s="5">
        <v>71.130070000000003</v>
      </c>
      <c r="C655" s="5">
        <v>99.206649999999996</v>
      </c>
      <c r="D655" s="5">
        <v>78.175939999999997</v>
      </c>
      <c r="E655" s="5">
        <v>37.650970000000001</v>
      </c>
      <c r="F655" s="5">
        <v>55.053767000000001</v>
      </c>
      <c r="G655" s="5">
        <v>43.46884</v>
      </c>
      <c r="H655" s="5">
        <v>39.863647</v>
      </c>
      <c r="I655" s="5">
        <v>45.719949999999997</v>
      </c>
      <c r="J655" s="5">
        <v>54.653840000000002</v>
      </c>
      <c r="K655" s="5">
        <v>54.940469999999998</v>
      </c>
      <c r="L655" s="5">
        <v>67.760379999999998</v>
      </c>
      <c r="M655" s="5">
        <v>72.074910000000003</v>
      </c>
      <c r="N655" s="5">
        <v>28.414280000000002</v>
      </c>
      <c r="O655" s="5">
        <v>44.177619999999997</v>
      </c>
      <c r="P655" s="5">
        <v>50.083590000000001</v>
      </c>
      <c r="Q655" s="5">
        <v>81.330600000000004</v>
      </c>
      <c r="R655" s="5">
        <v>56.113419999999998</v>
      </c>
    </row>
    <row r="656" spans="1:18">
      <c r="A656" s="3" t="s">
        <v>4</v>
      </c>
      <c r="B656" s="2">
        <f t="shared" ref="B656:R656" si="280">(B650-1100.66)/(34418.73-1100.66)</f>
        <v>0.19093694010011175</v>
      </c>
      <c r="C656" s="2">
        <f t="shared" si="280"/>
        <v>0.1927936284812036</v>
      </c>
      <c r="D656" s="2">
        <f t="shared" si="280"/>
        <v>0.17446737568929929</v>
      </c>
      <c r="E656" s="2">
        <f t="shared" si="280"/>
        <v>-2.0623612245147563E-9</v>
      </c>
      <c r="F656" s="2">
        <f t="shared" si="280"/>
        <v>0.14937951836878982</v>
      </c>
      <c r="G656" s="2">
        <f t="shared" si="280"/>
        <v>0.15371318244960824</v>
      </c>
      <c r="H656" s="2">
        <f t="shared" si="280"/>
        <v>3.4808246806898044E-3</v>
      </c>
      <c r="I656" s="2">
        <f t="shared" si="280"/>
        <v>2.9171322156520449E-2</v>
      </c>
      <c r="J656" s="2">
        <f t="shared" si="280"/>
        <v>0.1732699055663007</v>
      </c>
      <c r="K656" s="2">
        <f t="shared" si="280"/>
        <v>0.26780573811020991</v>
      </c>
      <c r="L656" s="2">
        <f t="shared" si="280"/>
        <v>0.10079962906543585</v>
      </c>
      <c r="M656" s="2">
        <f t="shared" si="280"/>
        <v>4.3152091858017945E-2</v>
      </c>
      <c r="N656" s="2">
        <f t="shared" si="280"/>
        <v>8.6041257601458296E-2</v>
      </c>
      <c r="O656" s="2">
        <f t="shared" si="280"/>
        <v>0.10105265659011019</v>
      </c>
      <c r="P656" s="2">
        <f t="shared" si="280"/>
        <v>0.21033453616297518</v>
      </c>
      <c r="Q656" s="2">
        <f t="shared" si="280"/>
        <v>0.18605201875281749</v>
      </c>
      <c r="R656" s="2">
        <f t="shared" si="280"/>
        <v>0.25444948556998481</v>
      </c>
    </row>
    <row r="657" spans="1:18">
      <c r="A657" s="3" t="s">
        <v>5</v>
      </c>
      <c r="B657" s="2">
        <f t="shared" ref="B657:R657" si="281">(B651-2562)/(47907-2562)</f>
        <v>0.32523982798544493</v>
      </c>
      <c r="C657" s="2">
        <f t="shared" si="281"/>
        <v>0.19345021501819384</v>
      </c>
      <c r="D657" s="2">
        <f t="shared" si="281"/>
        <v>0.36224501047524532</v>
      </c>
      <c r="E657" s="2">
        <f t="shared" si="281"/>
        <v>0</v>
      </c>
      <c r="F657" s="2">
        <f t="shared" si="281"/>
        <v>0.26009482853677363</v>
      </c>
      <c r="G657" s="2">
        <f t="shared" si="281"/>
        <v>0.252640864483405</v>
      </c>
      <c r="H657" s="2">
        <f t="shared" si="281"/>
        <v>2.1369500496195831E-2</v>
      </c>
      <c r="I657" s="2">
        <f t="shared" si="281"/>
        <v>7.4605799977946849E-2</v>
      </c>
      <c r="J657" s="2">
        <f t="shared" si="281"/>
        <v>0.23978387914874849</v>
      </c>
      <c r="K657" s="2">
        <f t="shared" si="281"/>
        <v>0.32157900540302126</v>
      </c>
      <c r="L657" s="2">
        <f t="shared" si="281"/>
        <v>0.1207189326276326</v>
      </c>
      <c r="M657" s="2">
        <f t="shared" si="281"/>
        <v>8.550005513287022E-2</v>
      </c>
      <c r="N657" s="2">
        <f t="shared" si="281"/>
        <v>0.13176755981916419</v>
      </c>
      <c r="O657" s="2">
        <f t="shared" si="281"/>
        <v>0.19223729187341493</v>
      </c>
      <c r="P657" s="2">
        <f t="shared" si="281"/>
        <v>0.29725438306318225</v>
      </c>
      <c r="Q657" s="2">
        <f t="shared" si="281"/>
        <v>0.33373028999889737</v>
      </c>
      <c r="R657" s="2">
        <f t="shared" si="281"/>
        <v>0.51798434226485834</v>
      </c>
    </row>
    <row r="658" spans="1:18">
      <c r="A658" s="3" t="s">
        <v>6</v>
      </c>
      <c r="B658" s="2">
        <f>(B652-12.415)/(39.131-12.415)</f>
        <v>0.27362621610200394</v>
      </c>
      <c r="C658" s="2">
        <f t="shared" ref="C658:R658" si="282">(C652-12.415)/(39.131-12.415)</f>
        <v>0.35726198667836434</v>
      </c>
      <c r="D658" s="2">
        <f t="shared" si="282"/>
        <v>0.60652796137428655</v>
      </c>
      <c r="E658" s="2">
        <f t="shared" si="282"/>
        <v>1.0000079369836485</v>
      </c>
      <c r="F658" s="2">
        <f t="shared" si="282"/>
        <v>0.44295631401116209</v>
      </c>
      <c r="G658" s="2">
        <f t="shared" si="282"/>
        <v>6.463704629476347E-6</v>
      </c>
      <c r="H658" s="2">
        <f t="shared" si="282"/>
        <v>0.41616824711748962</v>
      </c>
      <c r="I658" s="2">
        <f t="shared" si="282"/>
        <v>0.74293979008473598</v>
      </c>
      <c r="J658" s="2">
        <f t="shared" si="282"/>
        <v>0.82590551838169168</v>
      </c>
      <c r="K658" s="2">
        <f t="shared" si="282"/>
        <v>0.36015937202899029</v>
      </c>
      <c r="L658" s="2">
        <f t="shared" si="282"/>
        <v>0.22436688400097124</v>
      </c>
      <c r="M658" s="2">
        <f t="shared" si="282"/>
        <v>0.22339897344185719</v>
      </c>
      <c r="N658" s="2">
        <f t="shared" si="282"/>
        <v>0.80177632966822177</v>
      </c>
      <c r="O658" s="2">
        <f t="shared" si="282"/>
        <v>0.28469439848733041</v>
      </c>
      <c r="P658" s="2">
        <f t="shared" si="282"/>
        <v>0.2965068767856987</v>
      </c>
      <c r="Q658" s="2">
        <f t="shared" si="282"/>
        <v>0.19544938026288999</v>
      </c>
      <c r="R658" s="2">
        <f t="shared" si="282"/>
        <v>0.63897562634166005</v>
      </c>
    </row>
    <row r="659" spans="1:18">
      <c r="A659" s="3" t="s">
        <v>3</v>
      </c>
      <c r="B659" s="2">
        <f>(B653-14.991)/(146.964-14.991)</f>
        <v>-1.0684007779026807E-6</v>
      </c>
      <c r="C659" s="2">
        <f t="shared" ref="C659:R659" si="283">(C653-14.991)/(146.964-14.991)</f>
        <v>0.41566125547402044</v>
      </c>
      <c r="D659" s="2">
        <f t="shared" si="283"/>
        <v>0.3754154548482368</v>
      </c>
      <c r="E659" s="2">
        <f t="shared" si="283"/>
        <v>0.10735692482323345</v>
      </c>
      <c r="F659" s="2">
        <f t="shared" si="283"/>
        <v>0.15454206074187662</v>
      </c>
      <c r="G659" s="2">
        <f t="shared" si="283"/>
        <v>0.39030398372735009</v>
      </c>
      <c r="H659" s="2">
        <f t="shared" si="283"/>
        <v>1.8792927384904713E-3</v>
      </c>
      <c r="I659" s="2">
        <f t="shared" si="283"/>
        <v>0.25816563354545602</v>
      </c>
      <c r="J659" s="2">
        <f t="shared" si="283"/>
        <v>0.99999870734528007</v>
      </c>
      <c r="K659" s="2">
        <f t="shared" si="283"/>
        <v>0.17666630882945422</v>
      </c>
      <c r="L659" s="2">
        <f t="shared" si="283"/>
        <v>0.11068174637937102</v>
      </c>
      <c r="M659" s="2">
        <f t="shared" si="283"/>
        <v>0.34711092101081814</v>
      </c>
      <c r="N659" s="2">
        <f t="shared" si="283"/>
        <v>0.46063485692342998</v>
      </c>
      <c r="O659" s="2">
        <f t="shared" si="283"/>
        <v>0.59989744544450019</v>
      </c>
      <c r="P659" s="2">
        <f t="shared" si="283"/>
        <v>0.12087317481935542</v>
      </c>
      <c r="Q659" s="2">
        <f t="shared" si="283"/>
        <v>0.20184031672456793</v>
      </c>
      <c r="R659" s="2">
        <f t="shared" si="283"/>
        <v>0.33827456734871503</v>
      </c>
    </row>
    <row r="660" spans="1:18">
      <c r="A660" s="3" t="s">
        <v>7</v>
      </c>
      <c r="B660" s="2">
        <f t="shared" ref="B660:R660" si="284">(B654-58.353)/(78.837-58.353)</f>
        <v>0.64173465548363806</v>
      </c>
      <c r="C660" s="2">
        <f t="shared" si="284"/>
        <v>0.64872404875191159</v>
      </c>
      <c r="D660" s="2">
        <f t="shared" si="284"/>
        <v>0.74451088535489962</v>
      </c>
      <c r="E660" s="2">
        <f t="shared" si="284"/>
        <v>0.54221498278251679</v>
      </c>
      <c r="F660" s="2">
        <f t="shared" si="284"/>
        <v>0.48586880420649486</v>
      </c>
      <c r="G660" s="2">
        <f t="shared" si="284"/>
        <v>0.84915055653192795</v>
      </c>
      <c r="H660" s="2">
        <f t="shared" si="284"/>
        <v>-7.1441839197949598E-6</v>
      </c>
      <c r="I660" s="2">
        <f t="shared" si="284"/>
        <v>0.18311138735288965</v>
      </c>
      <c r="J660" s="2">
        <f t="shared" si="284"/>
        <v>0.57178118793490262</v>
      </c>
      <c r="K660" s="2">
        <f t="shared" si="284"/>
        <v>0.6072103866908618</v>
      </c>
      <c r="L660" s="2">
        <f t="shared" si="284"/>
        <v>0.35132357914088785</v>
      </c>
      <c r="M660" s="2">
        <f t="shared" si="284"/>
        <v>0.33227837550783285</v>
      </c>
      <c r="N660" s="2">
        <f t="shared" si="284"/>
        <v>0.68921728320973952</v>
      </c>
      <c r="O660" s="2">
        <f t="shared" si="284"/>
        <v>0.5835929053490887</v>
      </c>
      <c r="P660" s="2">
        <f t="shared" si="284"/>
        <v>0.22981172693976543</v>
      </c>
      <c r="Q660" s="2">
        <f t="shared" si="284"/>
        <v>0.6898888364982072</v>
      </c>
      <c r="R660" s="2">
        <f t="shared" si="284"/>
        <v>0.6204533222836619</v>
      </c>
    </row>
    <row r="661" spans="1:18">
      <c r="A661" s="4" t="s">
        <v>8</v>
      </c>
      <c r="B661" s="2">
        <f t="shared" ref="B661:R661" si="285">(B655-28.414)/(115.571-28.414)</f>
        <v>0.49010486822630428</v>
      </c>
      <c r="C661" s="2">
        <f t="shared" si="285"/>
        <v>0.81224284911137368</v>
      </c>
      <c r="D661" s="2">
        <f t="shared" si="285"/>
        <v>0.57094599401080803</v>
      </c>
      <c r="E661" s="2">
        <f t="shared" si="285"/>
        <v>0.10598081622818592</v>
      </c>
      <c r="F661" s="2">
        <f t="shared" si="285"/>
        <v>0.30565263834230183</v>
      </c>
      <c r="G661" s="2">
        <f t="shared" si="285"/>
        <v>0.17273242539325584</v>
      </c>
      <c r="H661" s="2">
        <f t="shared" si="285"/>
        <v>0.13136807141136109</v>
      </c>
      <c r="I661" s="2">
        <f t="shared" si="285"/>
        <v>0.19856064343655697</v>
      </c>
      <c r="J661" s="2">
        <f t="shared" si="285"/>
        <v>0.30106405681700843</v>
      </c>
      <c r="K661" s="2">
        <f t="shared" si="285"/>
        <v>0.30435271980449069</v>
      </c>
      <c r="L661" s="2">
        <f t="shared" si="285"/>
        <v>0.45144256915680897</v>
      </c>
      <c r="M661" s="2">
        <f t="shared" si="285"/>
        <v>0.50094553506889872</v>
      </c>
      <c r="N661" s="2">
        <f t="shared" si="285"/>
        <v>3.2125933659953644E-6</v>
      </c>
      <c r="O661" s="2">
        <f t="shared" si="285"/>
        <v>0.18086464655736195</v>
      </c>
      <c r="P661" s="2">
        <f t="shared" si="285"/>
        <v>0.2486270752779467</v>
      </c>
      <c r="Q661" s="2">
        <f t="shared" si="285"/>
        <v>0.60714113611069687</v>
      </c>
      <c r="R661" s="2">
        <f t="shared" si="285"/>
        <v>0.3178106176210746</v>
      </c>
    </row>
    <row r="662" spans="1:18">
      <c r="A662" s="3" t="s">
        <v>69</v>
      </c>
      <c r="B662" s="2">
        <f t="shared" ref="B662:R662" si="286">(B656+B657+B658+B659+B660+B661)/6</f>
        <v>0.32027357324945421</v>
      </c>
      <c r="C662" s="2">
        <f t="shared" si="286"/>
        <v>0.4366889972525112</v>
      </c>
      <c r="D662" s="2">
        <f t="shared" si="286"/>
        <v>0.47235211362546253</v>
      </c>
      <c r="E662" s="2">
        <f t="shared" si="286"/>
        <v>0.2925934431258706</v>
      </c>
      <c r="F662" s="2">
        <f t="shared" si="286"/>
        <v>0.29974902736789982</v>
      </c>
      <c r="G662" s="2">
        <f t="shared" si="286"/>
        <v>0.30309124604836274</v>
      </c>
      <c r="H662" s="2">
        <f t="shared" si="286"/>
        <v>9.5709798710051183E-2</v>
      </c>
      <c r="I662" s="2">
        <f t="shared" si="286"/>
        <v>0.247759096092351</v>
      </c>
      <c r="J662" s="2">
        <f t="shared" si="286"/>
        <v>0.51863387586565535</v>
      </c>
      <c r="K662" s="2">
        <f t="shared" si="286"/>
        <v>0.33962892181117138</v>
      </c>
      <c r="L662" s="2">
        <f t="shared" si="286"/>
        <v>0.2265555567285179</v>
      </c>
      <c r="M662" s="2">
        <f t="shared" si="286"/>
        <v>0.25539765867004921</v>
      </c>
      <c r="N662" s="2">
        <f t="shared" si="286"/>
        <v>0.36157341663589659</v>
      </c>
      <c r="O662" s="2">
        <f t="shared" si="286"/>
        <v>0.32372322405030107</v>
      </c>
      <c r="P662" s="2">
        <f t="shared" si="286"/>
        <v>0.23390129550815397</v>
      </c>
      <c r="Q662" s="2">
        <f t="shared" si="286"/>
        <v>0.36901699639134611</v>
      </c>
      <c r="R662" s="2">
        <f t="shared" si="286"/>
        <v>0.44799132690499244</v>
      </c>
    </row>
    <row r="664" spans="1:18">
      <c r="A664" s="1" t="s">
        <v>9</v>
      </c>
      <c r="B664" s="2" t="s">
        <v>28</v>
      </c>
      <c r="C664" s="2" t="s">
        <v>29</v>
      </c>
      <c r="D664" s="2" t="s">
        <v>30</v>
      </c>
      <c r="E664" s="2" t="s">
        <v>31</v>
      </c>
      <c r="F664" s="2" t="s">
        <v>32</v>
      </c>
      <c r="G664" s="2" t="s">
        <v>33</v>
      </c>
      <c r="H664" s="2" t="s">
        <v>34</v>
      </c>
      <c r="I664" s="2" t="s">
        <v>35</v>
      </c>
      <c r="J664" s="2" t="s">
        <v>36</v>
      </c>
      <c r="K664" s="2" t="s">
        <v>37</v>
      </c>
      <c r="L664" s="2" t="s">
        <v>38</v>
      </c>
      <c r="M664" s="2" t="s">
        <v>39</v>
      </c>
      <c r="N664" s="2" t="s">
        <v>40</v>
      </c>
      <c r="O664" s="2" t="s">
        <v>41</v>
      </c>
      <c r="P664" s="2" t="s">
        <v>42</v>
      </c>
      <c r="Q664" s="2" t="s">
        <v>43</v>
      </c>
      <c r="R664" s="2" t="s">
        <v>44</v>
      </c>
    </row>
    <row r="665" spans="1:18">
      <c r="B665" s="2">
        <v>1990</v>
      </c>
      <c r="C665" s="2">
        <v>1990</v>
      </c>
      <c r="D665" s="2">
        <v>1990</v>
      </c>
      <c r="E665" s="2">
        <v>1990</v>
      </c>
      <c r="F665" s="2">
        <v>1990</v>
      </c>
      <c r="G665" s="2">
        <v>1990</v>
      </c>
      <c r="H665" s="2">
        <v>1990</v>
      </c>
      <c r="I665" s="2">
        <v>1990</v>
      </c>
      <c r="J665" s="2">
        <v>1990</v>
      </c>
      <c r="K665" s="2">
        <v>1990</v>
      </c>
      <c r="L665" s="2">
        <v>1990</v>
      </c>
      <c r="M665" s="2">
        <v>1990</v>
      </c>
      <c r="N665" s="2">
        <v>1990</v>
      </c>
      <c r="O665" s="2">
        <v>1990</v>
      </c>
      <c r="P665" s="2">
        <v>1990</v>
      </c>
      <c r="Q665" s="2">
        <v>1990</v>
      </c>
      <c r="R665" s="2">
        <v>1990</v>
      </c>
    </row>
    <row r="666" spans="1:18">
      <c r="A666" s="1" t="s">
        <v>0</v>
      </c>
      <c r="B666" s="3">
        <v>23865.165561588587</v>
      </c>
      <c r="C666" s="3">
        <v>25096.468426601623</v>
      </c>
      <c r="D666" s="3">
        <v>26941.150463491213</v>
      </c>
      <c r="E666" s="3">
        <v>25442.170682578548</v>
      </c>
      <c r="F666" s="3">
        <v>23141.031160839982</v>
      </c>
      <c r="G666" s="3">
        <v>24211.741192760503</v>
      </c>
      <c r="H666" s="3">
        <v>23730.895516242203</v>
      </c>
      <c r="I666" s="3">
        <v>24407.154560613719</v>
      </c>
      <c r="J666" s="3">
        <v>26522.550361979895</v>
      </c>
      <c r="K666" s="3">
        <v>26275.750201194449</v>
      </c>
      <c r="L666" s="3">
        <v>19515.524097236477</v>
      </c>
      <c r="M666" s="3">
        <v>32362.738865057159</v>
      </c>
      <c r="N666" s="3">
        <v>19776.656947103096</v>
      </c>
      <c r="O666" s="3">
        <v>24564.876473795804</v>
      </c>
      <c r="P666" s="3">
        <v>34418.726315058506</v>
      </c>
      <c r="Q666" s="3">
        <v>22421.320900705377</v>
      </c>
      <c r="R666" s="3">
        <v>32965.385509516593</v>
      </c>
    </row>
    <row r="667" spans="1:18">
      <c r="A667" s="1" t="s">
        <v>1</v>
      </c>
      <c r="B667" s="2">
        <v>36674</v>
      </c>
      <c r="C667" s="2">
        <v>44588</v>
      </c>
      <c r="D667" s="2">
        <v>39837</v>
      </c>
      <c r="E667" s="2">
        <v>35865</v>
      </c>
      <c r="F667" s="2">
        <v>33906</v>
      </c>
      <c r="G667" s="2">
        <v>43517</v>
      </c>
      <c r="H667" s="2">
        <v>40941</v>
      </c>
      <c r="I667" s="2">
        <v>35272</v>
      </c>
      <c r="J667" s="2">
        <v>36173</v>
      </c>
      <c r="K667" s="2">
        <v>38546</v>
      </c>
      <c r="L667" s="2">
        <v>30226</v>
      </c>
      <c r="M667" s="2">
        <v>38044</v>
      </c>
      <c r="N667" s="2">
        <v>34373</v>
      </c>
      <c r="O667" s="2">
        <v>33129</v>
      </c>
      <c r="P667" s="2">
        <v>36998</v>
      </c>
      <c r="Q667" s="2">
        <v>35070</v>
      </c>
      <c r="R667" s="2">
        <v>47907</v>
      </c>
    </row>
    <row r="668" spans="1:18">
      <c r="A668" s="1" t="s">
        <v>2</v>
      </c>
      <c r="B668" s="2">
        <v>25.485340045078619</v>
      </c>
      <c r="C668" s="2">
        <v>24.751891098767377</v>
      </c>
      <c r="D668" s="2">
        <v>21.0420034092196</v>
      </c>
      <c r="E668" s="2">
        <v>24.536904863866919</v>
      </c>
      <c r="F668" s="2">
        <v>26.921268305790676</v>
      </c>
      <c r="G668" s="2">
        <v>20.795590156862954</v>
      </c>
      <c r="H668" s="2">
        <v>22.755321418851608</v>
      </c>
      <c r="I668" s="2">
        <v>25.58585094605138</v>
      </c>
      <c r="J668" s="2">
        <v>33.395759694547408</v>
      </c>
      <c r="K668" s="2">
        <v>27.263884556662781</v>
      </c>
      <c r="L668" s="2">
        <v>20.082346619644643</v>
      </c>
      <c r="M668" s="2">
        <v>29.049870363403503</v>
      </c>
      <c r="N668" s="2">
        <v>22.826628881276349</v>
      </c>
      <c r="O668" s="2">
        <v>24.209702627953483</v>
      </c>
      <c r="P668" s="2">
        <v>31.16519683355013</v>
      </c>
      <c r="Q668" s="2">
        <v>18.067520862448994</v>
      </c>
      <c r="R668" s="2">
        <v>16.326424149683522</v>
      </c>
    </row>
    <row r="669" spans="1:18">
      <c r="A669" s="1" t="s">
        <v>3</v>
      </c>
      <c r="B669" s="2">
        <v>73.969132807993915</v>
      </c>
      <c r="C669" s="2">
        <v>132.33232460215444</v>
      </c>
      <c r="D669" s="2">
        <v>51.496718001061893</v>
      </c>
      <c r="E669" s="2">
        <v>69.70765409541211</v>
      </c>
      <c r="F669" s="2">
        <v>46.614268440145104</v>
      </c>
      <c r="G669" s="2">
        <v>43.850082374715633</v>
      </c>
      <c r="H669" s="2">
        <v>37.833439654060605</v>
      </c>
      <c r="I669" s="2">
        <v>108.74181276890143</v>
      </c>
      <c r="J669" s="2">
        <v>19.667222395168761</v>
      </c>
      <c r="K669" s="2">
        <v>109.0990428972469</v>
      </c>
      <c r="L669" s="2">
        <v>52.806754748072912</v>
      </c>
      <c r="M669" s="2">
        <v>73.927493144675523</v>
      </c>
      <c r="N669" s="2">
        <v>35.521411859653398</v>
      </c>
      <c r="O669" s="2">
        <v>60.244331861646202</v>
      </c>
      <c r="P669" s="2">
        <v>70.618430822835492</v>
      </c>
      <c r="Q669" s="2">
        <v>50.015518610935274</v>
      </c>
      <c r="R669" s="2">
        <v>20.550184322181263</v>
      </c>
    </row>
    <row r="670" spans="1:18">
      <c r="A670" s="6" t="s">
        <v>27</v>
      </c>
      <c r="B670" s="2">
        <v>75.53</v>
      </c>
      <c r="C670" s="2">
        <v>75.968292682926844</v>
      </c>
      <c r="D670" s="2">
        <v>77.37707317073172</v>
      </c>
      <c r="E670" s="2">
        <v>74.805365853658543</v>
      </c>
      <c r="F670" s="2">
        <v>74.813170731707316</v>
      </c>
      <c r="G670" s="2">
        <v>76.600000000000009</v>
      </c>
      <c r="H670" s="2">
        <v>76.859024390243917</v>
      </c>
      <c r="I670" s="2">
        <v>74.741317073170748</v>
      </c>
      <c r="J670" s="2">
        <v>78.836829268292689</v>
      </c>
      <c r="K670" s="2">
        <v>76.878048780487802</v>
      </c>
      <c r="L670" s="2">
        <v>75.378048780487816</v>
      </c>
      <c r="M670" s="2">
        <v>76.53731707317074</v>
      </c>
      <c r="N670" s="2">
        <v>76.837560975609762</v>
      </c>
      <c r="O670" s="2">
        <v>77.536829268292692</v>
      </c>
      <c r="P670" s="2">
        <v>77.242439024390237</v>
      </c>
      <c r="Q670" s="2">
        <v>75.880487804878058</v>
      </c>
      <c r="R670" s="2">
        <v>75.214634146341467</v>
      </c>
    </row>
    <row r="671" spans="1:18">
      <c r="A671" s="6" t="s">
        <v>8</v>
      </c>
      <c r="B671" s="2">
        <v>100.62084</v>
      </c>
      <c r="C671" s="2">
        <v>98.819580000000002</v>
      </c>
      <c r="D671" s="2">
        <v>99.16574</v>
      </c>
      <c r="E671" s="2">
        <v>109.3681</v>
      </c>
      <c r="F671" s="2">
        <v>114.55898000000001</v>
      </c>
      <c r="G671" s="2">
        <v>95.252129999999994</v>
      </c>
      <c r="H671" s="2">
        <v>78.712249999999997</v>
      </c>
      <c r="I671" s="2">
        <v>99.094049999999996</v>
      </c>
      <c r="J671" s="2">
        <v>95.623260000000002</v>
      </c>
      <c r="K671" s="2">
        <v>115.57111999999999</v>
      </c>
      <c r="L671" s="2">
        <v>88.59008</v>
      </c>
      <c r="M671" s="2">
        <v>100.98618</v>
      </c>
      <c r="N671" s="2">
        <v>101.95399</v>
      </c>
      <c r="O671" s="2">
        <v>89.714309999999998</v>
      </c>
      <c r="P671" s="2">
        <v>95.702699999999993</v>
      </c>
      <c r="Q671" s="2">
        <v>83.749970000000005</v>
      </c>
      <c r="R671" s="2">
        <v>94.145009999999999</v>
      </c>
    </row>
    <row r="672" spans="1:18">
      <c r="A672" s="3" t="s">
        <v>4</v>
      </c>
      <c r="B672" s="2">
        <f t="shared" ref="B672:N672" si="287">(B666-1100.66)/(34418.73-1100.66)</f>
        <v>0.68324802611881741</v>
      </c>
      <c r="C672" s="2">
        <f t="shared" si="287"/>
        <v>0.72020403422532042</v>
      </c>
      <c r="D672" s="2">
        <f t="shared" si="287"/>
        <v>0.77556984733783241</v>
      </c>
      <c r="E672" s="2">
        <f t="shared" si="287"/>
        <v>0.73057985299204153</v>
      </c>
      <c r="F672" s="2">
        <f t="shared" si="287"/>
        <v>0.66151404210507936</v>
      </c>
      <c r="G672" s="2">
        <f t="shared" si="287"/>
        <v>0.69365005814443947</v>
      </c>
      <c r="H672" s="2">
        <f t="shared" si="287"/>
        <v>0.67921807944584434</v>
      </c>
      <c r="I672" s="2">
        <f t="shared" si="287"/>
        <v>0.69951514480321697</v>
      </c>
      <c r="J672" s="2">
        <f t="shared" si="287"/>
        <v>0.7630060913486254</v>
      </c>
      <c r="K672" s="2">
        <f t="shared" si="287"/>
        <v>0.75559869467812657</v>
      </c>
      <c r="L672" s="2">
        <f t="shared" si="287"/>
        <v>0.55269900379093018</v>
      </c>
      <c r="M672" s="2">
        <f t="shared" si="287"/>
        <v>0.93829200986303107</v>
      </c>
      <c r="N672" s="2">
        <f t="shared" si="287"/>
        <v>0.56053657811221047</v>
      </c>
      <c r="O672" s="2">
        <f>(O666-1100.66)/(34418.73-1100.66)</f>
        <v>0.70424896981715346</v>
      </c>
      <c r="P672" s="2">
        <f t="shared" ref="P672:R672" si="288">(P666-1100.66)/(34418.73-1100.66)</f>
        <v>0.99999988940111184</v>
      </c>
      <c r="Q672" s="2">
        <f t="shared" si="288"/>
        <v>0.63991284311202234</v>
      </c>
      <c r="R672" s="2">
        <f t="shared" si="288"/>
        <v>0.95637969154625679</v>
      </c>
    </row>
    <row r="673" spans="1:18">
      <c r="A673" s="3" t="s">
        <v>5</v>
      </c>
      <c r="B673" s="2">
        <f>(B667-2562)/(47907-2562)</f>
        <v>0.7522769875399713</v>
      </c>
      <c r="C673" s="2">
        <f t="shared" ref="C673:R673" si="289">(C667-2562)/(47907-2562)</f>
        <v>0.92680560149961411</v>
      </c>
      <c r="D673" s="2">
        <f t="shared" si="289"/>
        <v>0.82203109493880255</v>
      </c>
      <c r="E673" s="2">
        <f t="shared" si="289"/>
        <v>0.73443599073767785</v>
      </c>
      <c r="F673" s="2">
        <f t="shared" si="289"/>
        <v>0.69123387363546152</v>
      </c>
      <c r="G673" s="2">
        <f t="shared" si="289"/>
        <v>0.9031866798985555</v>
      </c>
      <c r="H673" s="2">
        <f t="shared" si="289"/>
        <v>0.84637777042672846</v>
      </c>
      <c r="I673" s="2">
        <f t="shared" si="289"/>
        <v>0.72135847392215235</v>
      </c>
      <c r="J673" s="2">
        <f t="shared" si="289"/>
        <v>0.74122836034843975</v>
      </c>
      <c r="K673" s="2">
        <f t="shared" si="289"/>
        <v>0.79356048075862828</v>
      </c>
      <c r="L673" s="2">
        <f t="shared" si="289"/>
        <v>0.61007828867570846</v>
      </c>
      <c r="M673" s="2">
        <f t="shared" si="289"/>
        <v>0.78248980041900984</v>
      </c>
      <c r="N673" s="2">
        <f t="shared" si="289"/>
        <v>0.70153269379203886</v>
      </c>
      <c r="O673" s="2">
        <f t="shared" si="289"/>
        <v>0.67409857757194835</v>
      </c>
      <c r="P673" s="2">
        <f t="shared" si="289"/>
        <v>0.75942220752012346</v>
      </c>
      <c r="Q673" s="2">
        <f t="shared" si="289"/>
        <v>0.71690373800860074</v>
      </c>
      <c r="R673" s="2">
        <f t="shared" si="289"/>
        <v>1</v>
      </c>
    </row>
    <row r="674" spans="1:18">
      <c r="A674" s="3" t="s">
        <v>6</v>
      </c>
      <c r="B674" s="2">
        <f t="shared" ref="B674:R674" si="290">(B668-12.415)/(39.131-12.415)</f>
        <v>0.48923267124863823</v>
      </c>
      <c r="C674" s="2">
        <f t="shared" si="290"/>
        <v>0.46177912482285438</v>
      </c>
      <c r="D674" s="2">
        <f t="shared" si="290"/>
        <v>0.32291523466161104</v>
      </c>
      <c r="E674" s="2">
        <f t="shared" si="290"/>
        <v>0.45373202814294505</v>
      </c>
      <c r="F674" s="2">
        <f t="shared" si="290"/>
        <v>0.54298054745435975</v>
      </c>
      <c r="G674" s="2">
        <f t="shared" si="290"/>
        <v>0.3136918010504175</v>
      </c>
      <c r="H674" s="2">
        <f t="shared" si="290"/>
        <v>0.38704601807349936</v>
      </c>
      <c r="I674" s="2">
        <f t="shared" si="290"/>
        <v>0.49299486996748693</v>
      </c>
      <c r="J674" s="2">
        <f t="shared" si="290"/>
        <v>0.7853256361187082</v>
      </c>
      <c r="K674" s="2">
        <f t="shared" si="290"/>
        <v>0.55580493175111467</v>
      </c>
      <c r="L674" s="2">
        <f t="shared" si="290"/>
        <v>0.28699455830381204</v>
      </c>
      <c r="M674" s="2">
        <f t="shared" si="290"/>
        <v>0.62265572553539095</v>
      </c>
      <c r="N674" s="2">
        <f t="shared" si="290"/>
        <v>0.38971511009418885</v>
      </c>
      <c r="O674" s="2">
        <f t="shared" si="290"/>
        <v>0.4414846020344918</v>
      </c>
      <c r="P674" s="2">
        <f t="shared" si="290"/>
        <v>0.70183398837962763</v>
      </c>
      <c r="Q674" s="2">
        <f t="shared" si="290"/>
        <v>0.21157811283309608</v>
      </c>
      <c r="R674" s="2">
        <f t="shared" si="290"/>
        <v>0.14640755164259331</v>
      </c>
    </row>
    <row r="675" spans="1:18">
      <c r="A675" s="3" t="s">
        <v>3</v>
      </c>
      <c r="B675" s="2">
        <f t="shared" ref="B675:R675" si="291">(B669-14.991)/(146.964-14.991)</f>
        <v>0.44689544685650784</v>
      </c>
      <c r="C675" s="2">
        <f t="shared" si="291"/>
        <v>0.88913129656940759</v>
      </c>
      <c r="D675" s="2">
        <f t="shared" si="291"/>
        <v>0.27661505005616216</v>
      </c>
      <c r="E675" s="2">
        <f t="shared" si="291"/>
        <v>0.41460491233367508</v>
      </c>
      <c r="F675" s="2">
        <f t="shared" si="291"/>
        <v>0.23961922847965189</v>
      </c>
      <c r="G675" s="2">
        <f t="shared" si="291"/>
        <v>0.21867414073117705</v>
      </c>
      <c r="H675" s="2">
        <f t="shared" si="291"/>
        <v>0.17308418884211621</v>
      </c>
      <c r="I675" s="2">
        <f t="shared" si="291"/>
        <v>0.71037873480864588</v>
      </c>
      <c r="J675" s="2">
        <f t="shared" si="291"/>
        <v>3.543317493099922E-2</v>
      </c>
      <c r="K675" s="2">
        <f t="shared" si="291"/>
        <v>0.71308557733208222</v>
      </c>
      <c r="L675" s="2">
        <f t="shared" si="291"/>
        <v>0.2865416012977875</v>
      </c>
      <c r="M675" s="2">
        <f t="shared" si="291"/>
        <v>0.44657993032419901</v>
      </c>
      <c r="N675" s="2">
        <f t="shared" si="291"/>
        <v>0.15556524334260338</v>
      </c>
      <c r="O675" s="2">
        <f t="shared" si="291"/>
        <v>0.34289840999027221</v>
      </c>
      <c r="P675" s="2">
        <f t="shared" si="291"/>
        <v>0.4215061476425897</v>
      </c>
      <c r="Q675" s="2">
        <f t="shared" si="291"/>
        <v>0.26539154683863569</v>
      </c>
      <c r="R675" s="2">
        <f t="shared" si="291"/>
        <v>4.2123648944717956E-2</v>
      </c>
    </row>
    <row r="676" spans="1:18">
      <c r="A676" s="3" t="s">
        <v>7</v>
      </c>
      <c r="B676" s="2">
        <f>(B670-58.353)/(78.837-58.353)</f>
        <v>0.83855692247607883</v>
      </c>
      <c r="C676" s="2">
        <f t="shared" ref="C676:R676" si="292">(C670-58.353)/(78.837-58.353)</f>
        <v>0.85995375331609258</v>
      </c>
      <c r="D676" s="2">
        <f t="shared" si="292"/>
        <v>0.92872843051804899</v>
      </c>
      <c r="E676" s="2">
        <f t="shared" si="292"/>
        <v>0.80318130509951868</v>
      </c>
      <c r="F676" s="2">
        <f t="shared" si="292"/>
        <v>0.80356232824191143</v>
      </c>
      <c r="G676" s="2">
        <f t="shared" si="292"/>
        <v>0.89079281390353471</v>
      </c>
      <c r="H676" s="2">
        <f t="shared" si="292"/>
        <v>0.90343801944170643</v>
      </c>
      <c r="I676" s="2">
        <f t="shared" si="292"/>
        <v>0.80005453393725567</v>
      </c>
      <c r="J676" s="2">
        <f t="shared" si="292"/>
        <v>0.99999166511876025</v>
      </c>
      <c r="K676" s="2">
        <f t="shared" si="292"/>
        <v>0.90436676335128874</v>
      </c>
      <c r="L676" s="2">
        <f t="shared" si="292"/>
        <v>0.83113887817261345</v>
      </c>
      <c r="M676" s="2">
        <f t="shared" si="292"/>
        <v>0.88773272179119012</v>
      </c>
      <c r="N676" s="2">
        <f t="shared" si="292"/>
        <v>0.90239020580012486</v>
      </c>
      <c r="O676" s="2">
        <f t="shared" si="292"/>
        <v>0.93652749796390788</v>
      </c>
      <c r="P676" s="2">
        <f t="shared" si="292"/>
        <v>0.9221557813117669</v>
      </c>
      <c r="Q676" s="2">
        <f t="shared" si="292"/>
        <v>0.85566724296416985</v>
      </c>
      <c r="R676" s="2">
        <f t="shared" si="292"/>
        <v>0.82316120612875732</v>
      </c>
    </row>
    <row r="677" spans="1:18">
      <c r="A677" s="4" t="s">
        <v>8</v>
      </c>
      <c r="B677" s="2">
        <f>(B671-28.414)/(115.571-28.414)</f>
        <v>0.82846862558371681</v>
      </c>
      <c r="C677" s="2">
        <f t="shared" ref="C677:R677" si="293">(C671-28.414)/(115.571-28.414)</f>
        <v>0.80780178298931815</v>
      </c>
      <c r="D677" s="2">
        <f t="shared" si="293"/>
        <v>0.81177346627350644</v>
      </c>
      <c r="E677" s="2">
        <f t="shared" si="293"/>
        <v>0.92883073075025524</v>
      </c>
      <c r="F677" s="2">
        <f t="shared" si="293"/>
        <v>0.98838854022052169</v>
      </c>
      <c r="G677" s="2">
        <f t="shared" si="293"/>
        <v>0.76687047511961171</v>
      </c>
      <c r="H677" s="2">
        <f t="shared" si="293"/>
        <v>0.57709937239693887</v>
      </c>
      <c r="I677" s="2">
        <f t="shared" si="293"/>
        <v>0.81095092763633436</v>
      </c>
      <c r="J677" s="2">
        <f t="shared" si="293"/>
        <v>0.77112865289076038</v>
      </c>
      <c r="K677" s="2">
        <f t="shared" si="293"/>
        <v>1.0000013768257283</v>
      </c>
      <c r="L677" s="2">
        <f t="shared" si="293"/>
        <v>0.69043312642702248</v>
      </c>
      <c r="M677" s="2">
        <f t="shared" si="293"/>
        <v>0.83266037151347572</v>
      </c>
      <c r="N677" s="2">
        <f t="shared" si="293"/>
        <v>0.84376458574755908</v>
      </c>
      <c r="O677" s="2">
        <f t="shared" si="293"/>
        <v>0.70333203299792324</v>
      </c>
      <c r="P677" s="2">
        <f t="shared" si="293"/>
        <v>0.77204011152288388</v>
      </c>
      <c r="Q677" s="2">
        <f t="shared" si="293"/>
        <v>0.63489989329600616</v>
      </c>
      <c r="R677" s="2">
        <f t="shared" si="293"/>
        <v>0.75416788095046872</v>
      </c>
    </row>
    <row r="678" spans="1:18">
      <c r="A678" s="4" t="s">
        <v>69</v>
      </c>
      <c r="B678" s="2">
        <f>(B672+B673+B674+B675+B676+B677)/6</f>
        <v>0.67311311330395507</v>
      </c>
      <c r="C678" s="2">
        <f t="shared" ref="C678:R678" si="294">(C672+C673+C674+C675+C676+C677)/6</f>
        <v>0.77761259890376788</v>
      </c>
      <c r="D678" s="2">
        <f t="shared" si="294"/>
        <v>0.65627218729766057</v>
      </c>
      <c r="E678" s="2">
        <f t="shared" si="294"/>
        <v>0.67756080334268554</v>
      </c>
      <c r="F678" s="2">
        <f t="shared" si="294"/>
        <v>0.65454976002283094</v>
      </c>
      <c r="G678" s="2">
        <f t="shared" si="294"/>
        <v>0.63114432814128929</v>
      </c>
      <c r="H678" s="2">
        <f t="shared" si="294"/>
        <v>0.59437724143780557</v>
      </c>
      <c r="I678" s="2">
        <f t="shared" si="294"/>
        <v>0.7058754475125153</v>
      </c>
      <c r="J678" s="2">
        <f t="shared" si="294"/>
        <v>0.68268559679271545</v>
      </c>
      <c r="K678" s="2">
        <f t="shared" si="294"/>
        <v>0.78706963744949476</v>
      </c>
      <c r="L678" s="2">
        <f t="shared" si="294"/>
        <v>0.54298090944464572</v>
      </c>
      <c r="M678" s="2">
        <f t="shared" si="294"/>
        <v>0.75173509324104948</v>
      </c>
      <c r="N678" s="2">
        <f t="shared" si="294"/>
        <v>0.59225073614812096</v>
      </c>
      <c r="O678" s="2">
        <f t="shared" si="294"/>
        <v>0.63376501506261607</v>
      </c>
      <c r="P678" s="2">
        <f t="shared" si="294"/>
        <v>0.76282635429635059</v>
      </c>
      <c r="Q678" s="2">
        <f t="shared" si="294"/>
        <v>0.55405889617542181</v>
      </c>
      <c r="R678" s="2">
        <f t="shared" si="294"/>
        <v>0.62037332986879912</v>
      </c>
    </row>
    <row r="680" spans="1:18">
      <c r="A680" s="1" t="s">
        <v>9</v>
      </c>
      <c r="B680" s="2" t="s">
        <v>10</v>
      </c>
      <c r="C680" s="2" t="s">
        <v>11</v>
      </c>
      <c r="D680" s="2" t="s">
        <v>12</v>
      </c>
      <c r="E680" s="2" t="s">
        <v>13</v>
      </c>
      <c r="F680" s="2" t="s">
        <v>14</v>
      </c>
      <c r="G680" s="2" t="s">
        <v>15</v>
      </c>
      <c r="H680" s="2" t="s">
        <v>16</v>
      </c>
      <c r="I680" s="2" t="s">
        <v>17</v>
      </c>
      <c r="J680" s="2" t="s">
        <v>18</v>
      </c>
      <c r="K680" s="2" t="s">
        <v>19</v>
      </c>
      <c r="L680" s="2" t="s">
        <v>20</v>
      </c>
      <c r="M680" s="2" t="s">
        <v>21</v>
      </c>
      <c r="N680" s="2" t="s">
        <v>22</v>
      </c>
      <c r="O680" s="2" t="s">
        <v>23</v>
      </c>
      <c r="P680" s="2" t="s">
        <v>24</v>
      </c>
      <c r="Q680" s="2" t="s">
        <v>25</v>
      </c>
      <c r="R680" s="2" t="s">
        <v>26</v>
      </c>
    </row>
    <row r="681" spans="1:18">
      <c r="B681" s="2">
        <v>1989</v>
      </c>
      <c r="C681" s="2">
        <v>1989</v>
      </c>
      <c r="D681" s="2">
        <v>1989</v>
      </c>
      <c r="E681" s="2">
        <v>1989</v>
      </c>
      <c r="F681" s="2">
        <v>1989</v>
      </c>
      <c r="G681" s="2">
        <v>1989</v>
      </c>
      <c r="H681" s="2">
        <v>1989</v>
      </c>
      <c r="I681" s="2">
        <v>1989</v>
      </c>
      <c r="J681" s="2">
        <v>1989</v>
      </c>
      <c r="K681" s="2">
        <v>1989</v>
      </c>
      <c r="L681" s="2">
        <v>1989</v>
      </c>
      <c r="M681" s="2">
        <v>1989</v>
      </c>
      <c r="N681" s="2">
        <v>1989</v>
      </c>
      <c r="O681" s="2">
        <v>1989</v>
      </c>
      <c r="P681" s="2">
        <v>1989</v>
      </c>
      <c r="Q681" s="2">
        <v>1989</v>
      </c>
      <c r="R681" s="2">
        <v>1989</v>
      </c>
    </row>
    <row r="682" spans="1:18">
      <c r="A682" s="1" t="s">
        <v>0</v>
      </c>
      <c r="B682" s="3">
        <v>7753.738410126276</v>
      </c>
      <c r="C682" s="3">
        <v>8131.0054374485117</v>
      </c>
      <c r="D682" s="3">
        <v>6786.6728801795953</v>
      </c>
      <c r="E682" s="3">
        <v>1076.039514751099</v>
      </c>
      <c r="F682" s="3">
        <v>5845.4180086260976</v>
      </c>
      <c r="G682" s="3">
        <v>6142.5958220457587</v>
      </c>
      <c r="H682" s="3">
        <v>1176.5606845670638</v>
      </c>
      <c r="I682" s="3">
        <v>1935.8143802831862</v>
      </c>
      <c r="J682" s="3">
        <v>6485.0577090511233</v>
      </c>
      <c r="K682" s="3">
        <v>9737.9052292446304</v>
      </c>
      <c r="L682" s="3">
        <v>4799.2763160183167</v>
      </c>
      <c r="M682" s="3">
        <v>2526.3172059271542</v>
      </c>
      <c r="N682" s="3">
        <v>3616.7513042177625</v>
      </c>
      <c r="O682" s="3">
        <v>4240.3007521278059</v>
      </c>
      <c r="P682" s="3">
        <v>7550.8516265146054</v>
      </c>
      <c r="Q682" s="3">
        <v>7327.299420164908</v>
      </c>
      <c r="R682" s="3">
        <v>9223.001809010575</v>
      </c>
    </row>
    <row r="683" spans="1:18">
      <c r="A683" s="1" t="s">
        <v>1</v>
      </c>
      <c r="B683" s="2">
        <v>17556</v>
      </c>
      <c r="C683" s="2">
        <v>11942</v>
      </c>
      <c r="D683" s="2">
        <v>18875</v>
      </c>
      <c r="E683" s="2">
        <v>2525</v>
      </c>
      <c r="F683" s="2">
        <v>15296</v>
      </c>
      <c r="G683" s="2">
        <v>14159</v>
      </c>
      <c r="H683" s="2">
        <v>3437</v>
      </c>
      <c r="I683" s="2">
        <v>5640</v>
      </c>
      <c r="J683" s="2">
        <v>12832</v>
      </c>
      <c r="K683" s="2">
        <v>16894</v>
      </c>
      <c r="L683" s="2">
        <v>8530</v>
      </c>
      <c r="M683" s="2">
        <v>6336</v>
      </c>
      <c r="N683" s="2">
        <v>8320</v>
      </c>
      <c r="O683" s="2">
        <v>10806</v>
      </c>
      <c r="P683" s="2">
        <v>14935</v>
      </c>
      <c r="Q683" s="2">
        <v>17569</v>
      </c>
      <c r="R683" s="2">
        <v>26438</v>
      </c>
    </row>
    <row r="684" spans="1:18">
      <c r="A684" s="1" t="s">
        <v>2</v>
      </c>
      <c r="B684" s="2">
        <v>21.993869806663195</v>
      </c>
      <c r="C684" s="2">
        <v>31.371278404154605</v>
      </c>
      <c r="D684" s="2">
        <v>30.006865164319201</v>
      </c>
      <c r="E684" s="2">
        <v>35.835388953703742</v>
      </c>
      <c r="F684" s="2">
        <v>22.679855572107577</v>
      </c>
      <c r="G684" s="2">
        <v>13.922029453634543</v>
      </c>
      <c r="H684" s="2">
        <v>22.79292005144632</v>
      </c>
      <c r="I684" s="2">
        <v>35.443682887251747</v>
      </c>
      <c r="J684" s="2">
        <v>34.211527869949961</v>
      </c>
      <c r="K684" s="2">
        <v>22.878098332957808</v>
      </c>
      <c r="L684" s="2">
        <v>20.830818450963122</v>
      </c>
      <c r="M684" s="2">
        <v>19.443964194483947</v>
      </c>
      <c r="N684" s="2">
        <v>32.502240126766999</v>
      </c>
      <c r="O684" s="2">
        <v>20.595626648870166</v>
      </c>
      <c r="P684" s="2">
        <v>21.894750178049911</v>
      </c>
      <c r="Q684" s="2">
        <v>17.860639962183029</v>
      </c>
      <c r="R684" s="2">
        <v>25.736231271861492</v>
      </c>
    </row>
    <row r="685" spans="1:18">
      <c r="A685" s="1" t="s">
        <v>3</v>
      </c>
      <c r="B685" s="2">
        <v>19.637797701883777</v>
      </c>
      <c r="C685" s="2">
        <v>94.578967102081563</v>
      </c>
      <c r="D685" s="2">
        <v>66.040175332231982</v>
      </c>
      <c r="E685" s="2">
        <v>29.238283561070368</v>
      </c>
      <c r="F685" s="2">
        <v>31.817874485027087</v>
      </c>
      <c r="G685" s="2">
        <v>64.360638060372551</v>
      </c>
      <c r="H685" s="2">
        <v>14.906714036681281</v>
      </c>
      <c r="I685" s="2">
        <v>45.693605952741187</v>
      </c>
      <c r="J685" s="2">
        <v>136.68906434580884</v>
      </c>
      <c r="K685" s="2">
        <v>38.058673444726161</v>
      </c>
      <c r="L685" s="2">
        <v>24.642847611992792</v>
      </c>
      <c r="M685" s="2">
        <v>58.380517891952401</v>
      </c>
      <c r="N685" s="2">
        <v>72.406931952730588</v>
      </c>
      <c r="O685" s="2">
        <v>92.007215925087849</v>
      </c>
      <c r="P685" s="2">
        <v>33.9836682372597</v>
      </c>
      <c r="Q685" s="2">
        <v>41.193561882081028</v>
      </c>
      <c r="R685" s="2">
        <v>55.211303787637519</v>
      </c>
    </row>
    <row r="686" spans="1:18">
      <c r="A686" s="6" t="s">
        <v>27</v>
      </c>
      <c r="B686" s="5">
        <v>71.29217073170733</v>
      </c>
      <c r="C686" s="5">
        <v>71.722439024390255</v>
      </c>
      <c r="D686" s="5">
        <v>73.281902439024378</v>
      </c>
      <c r="E686" s="5">
        <v>69.246926829268304</v>
      </c>
      <c r="F686" s="5">
        <v>68.177829268292683</v>
      </c>
      <c r="G686" s="5">
        <v>75.539658536585378</v>
      </c>
      <c r="H686" s="5">
        <v>58.099390243902448</v>
      </c>
      <c r="I686" s="5">
        <v>61.700804878048793</v>
      </c>
      <c r="J686" s="5">
        <v>69.82941463414636</v>
      </c>
      <c r="K686" s="5">
        <v>70.395951219512199</v>
      </c>
      <c r="L686" s="5">
        <v>65.064390243902452</v>
      </c>
      <c r="M686" s="5">
        <v>64.977951219512192</v>
      </c>
      <c r="N686" s="5">
        <v>72.313634146341471</v>
      </c>
      <c r="O686" s="5">
        <v>68.070902439024408</v>
      </c>
      <c r="P686" s="5">
        <v>62.504146341463418</v>
      </c>
      <c r="Q686" s="5">
        <v>72.30980487804878</v>
      </c>
      <c r="R686" s="5">
        <v>70.850195121951231</v>
      </c>
    </row>
    <row r="687" spans="1:18">
      <c r="A687" s="6" t="s">
        <v>48</v>
      </c>
      <c r="B687" s="5">
        <v>70.330224999999999</v>
      </c>
      <c r="C687" s="5">
        <v>102.68042</v>
      </c>
      <c r="D687" s="5">
        <v>80.213930000000005</v>
      </c>
      <c r="E687" s="5">
        <v>37.185110000000002</v>
      </c>
      <c r="F687" s="5">
        <v>52.56841</v>
      </c>
      <c r="G687" s="5">
        <v>42.313540000000003</v>
      </c>
      <c r="H687" s="5">
        <v>36.839939999999999</v>
      </c>
      <c r="I687" s="5">
        <v>48.250039999999998</v>
      </c>
      <c r="J687" s="5">
        <v>56.509079999999997</v>
      </c>
      <c r="K687" s="5">
        <v>56.175170000000001</v>
      </c>
      <c r="L687" s="5">
        <v>67.33175</v>
      </c>
      <c r="M687" s="5">
        <v>69.811279999999996</v>
      </c>
      <c r="N687" s="5">
        <v>27.79637</v>
      </c>
      <c r="O687" s="5">
        <v>43.602820000000001</v>
      </c>
      <c r="P687" s="5">
        <v>49.610259999999997</v>
      </c>
      <c r="Q687" s="5">
        <v>78.542460000000005</v>
      </c>
      <c r="R687" s="5">
        <v>56.531559999999999</v>
      </c>
    </row>
    <row r="688" spans="1:18">
      <c r="A688" s="3" t="s">
        <v>4</v>
      </c>
      <c r="B688" s="2">
        <f>(B682-1076.04)/(33541.46-1076.04)</f>
        <v>0.20568649381792309</v>
      </c>
      <c r="C688" s="2">
        <f t="shared" ref="C688:R688" si="295">(C682-1076.04)/(33541.46-1076.04)</f>
        <v>0.21730707434089908</v>
      </c>
      <c r="D688" s="2">
        <f t="shared" si="295"/>
        <v>0.17589893739799442</v>
      </c>
      <c r="E688" s="2">
        <f t="shared" si="295"/>
        <v>-1.4946638638475484E-8</v>
      </c>
      <c r="F688" s="2">
        <f t="shared" si="295"/>
        <v>0.14690640098375743</v>
      </c>
      <c r="G688" s="2">
        <f t="shared" si="295"/>
        <v>0.15606007321161283</v>
      </c>
      <c r="H688" s="2">
        <f t="shared" si="295"/>
        <v>3.0962385383298255E-3</v>
      </c>
      <c r="I688" s="2">
        <f t="shared" si="295"/>
        <v>2.6482773987928889E-2</v>
      </c>
      <c r="J688" s="2">
        <f t="shared" si="295"/>
        <v>0.16660858565979197</v>
      </c>
      <c r="K688" s="2">
        <f t="shared" si="295"/>
        <v>0.2668028083186551</v>
      </c>
      <c r="L688" s="2">
        <f t="shared" si="295"/>
        <v>0.11468314027720315</v>
      </c>
      <c r="M688" s="2">
        <f t="shared" si="295"/>
        <v>4.4671444445417749E-2</v>
      </c>
      <c r="N688" s="2">
        <f t="shared" si="295"/>
        <v>7.8259000013483973E-2</v>
      </c>
      <c r="O688" s="2">
        <f t="shared" si="295"/>
        <v>9.7465572665556346E-2</v>
      </c>
      <c r="P688" s="2">
        <f t="shared" si="295"/>
        <v>0.19943717427695701</v>
      </c>
      <c r="Q688" s="2">
        <f t="shared" si="295"/>
        <v>0.19255131830005306</v>
      </c>
      <c r="R688" s="2">
        <f t="shared" si="295"/>
        <v>0.25094275105668046</v>
      </c>
    </row>
    <row r="689" spans="1:18">
      <c r="A689" s="3" t="s">
        <v>5</v>
      </c>
      <c r="B689" s="2">
        <f t="shared" ref="B689:R689" si="296">(B683-2525)/(47632-2525)</f>
        <v>0.33322987562905981</v>
      </c>
      <c r="C689" s="2">
        <f t="shared" si="296"/>
        <v>0.20877025738798857</v>
      </c>
      <c r="D689" s="2">
        <f t="shared" si="296"/>
        <v>0.36247145675837456</v>
      </c>
      <c r="E689" s="2">
        <f t="shared" si="296"/>
        <v>0</v>
      </c>
      <c r="F689" s="2">
        <f t="shared" si="296"/>
        <v>0.2831267874165872</v>
      </c>
      <c r="G689" s="2">
        <f t="shared" si="296"/>
        <v>0.25792005675394064</v>
      </c>
      <c r="H689" s="2">
        <f t="shared" si="296"/>
        <v>2.0218591349457957E-2</v>
      </c>
      <c r="I689" s="2">
        <f t="shared" si="296"/>
        <v>6.9058017602589394E-2</v>
      </c>
      <c r="J689" s="2">
        <f t="shared" si="296"/>
        <v>0.22850111956015695</v>
      </c>
      <c r="K689" s="2">
        <f t="shared" si="296"/>
        <v>0.31855366129425589</v>
      </c>
      <c r="L689" s="2">
        <f t="shared" si="296"/>
        <v>0.13312789589199014</v>
      </c>
      <c r="M689" s="2">
        <f t="shared" si="296"/>
        <v>8.4487995211386266E-2</v>
      </c>
      <c r="N689" s="2">
        <f t="shared" si="296"/>
        <v>0.12847229919968076</v>
      </c>
      <c r="O689" s="2">
        <f t="shared" si="296"/>
        <v>0.18358569623340057</v>
      </c>
      <c r="P689" s="2">
        <f t="shared" si="296"/>
        <v>0.27512359500742678</v>
      </c>
      <c r="Q689" s="2">
        <f t="shared" si="296"/>
        <v>0.33351807923382182</v>
      </c>
      <c r="R689" s="2">
        <f t="shared" si="296"/>
        <v>0.53013944620568865</v>
      </c>
    </row>
    <row r="690" spans="1:18">
      <c r="A690" s="3" t="s">
        <v>6</v>
      </c>
      <c r="B690" s="2">
        <f>(B684-13.922)/(35.835-13.922)</f>
        <v>0.36835986887524275</v>
      </c>
      <c r="C690" s="2">
        <f t="shared" ref="C690:R690" si="297">(C684-13.922)/(35.835-13.922)</f>
        <v>0.79629801506660902</v>
      </c>
      <c r="D690" s="2">
        <f t="shared" si="297"/>
        <v>0.73403300161179208</v>
      </c>
      <c r="E690" s="2">
        <f t="shared" si="297"/>
        <v>1.000017749906619</v>
      </c>
      <c r="F690" s="2">
        <f t="shared" si="297"/>
        <v>0.39966483695101429</v>
      </c>
      <c r="G690" s="2">
        <f t="shared" si="297"/>
        <v>1.3441169416727654E-6</v>
      </c>
      <c r="H690" s="2">
        <f t="shared" si="297"/>
        <v>0.40482453572976401</v>
      </c>
      <c r="I690" s="2">
        <f t="shared" si="297"/>
        <v>0.98214223918458199</v>
      </c>
      <c r="J690" s="2">
        <f t="shared" si="297"/>
        <v>0.92591283119381007</v>
      </c>
      <c r="K690" s="2">
        <f t="shared" si="297"/>
        <v>0.40871164755888323</v>
      </c>
      <c r="L690" s="2">
        <f t="shared" si="297"/>
        <v>0.31528400725428379</v>
      </c>
      <c r="M690" s="2">
        <f t="shared" si="297"/>
        <v>0.25199489775402484</v>
      </c>
      <c r="N690" s="2">
        <f t="shared" si="297"/>
        <v>0.84790946592283112</v>
      </c>
      <c r="O690" s="2">
        <f t="shared" si="297"/>
        <v>0.30455102673619155</v>
      </c>
      <c r="P690" s="2">
        <f t="shared" si="297"/>
        <v>0.36383654351526079</v>
      </c>
      <c r="Q690" s="2">
        <f t="shared" si="297"/>
        <v>0.1797398787104928</v>
      </c>
      <c r="R690" s="2">
        <f t="shared" si="297"/>
        <v>0.53914257618133032</v>
      </c>
    </row>
    <row r="691" spans="1:18">
      <c r="A691" s="3" t="s">
        <v>3</v>
      </c>
      <c r="B691" s="2">
        <f>(B685-14.907)/(136.689-14.907)</f>
        <v>3.8846444481809933E-2</v>
      </c>
      <c r="C691" s="2">
        <f t="shared" ref="C691:R691" si="298">(C685-14.907)/(136.689-14.907)</f>
        <v>0.65421792302706117</v>
      </c>
      <c r="D691" s="2">
        <f t="shared" si="298"/>
        <v>0.41987465579668576</v>
      </c>
      <c r="E691" s="2">
        <f t="shared" si="298"/>
        <v>0.11767981771583952</v>
      </c>
      <c r="F691" s="2">
        <f t="shared" si="298"/>
        <v>0.13886185548789712</v>
      </c>
      <c r="G691" s="2">
        <f t="shared" si="298"/>
        <v>0.40608331330059089</v>
      </c>
      <c r="H691" s="2">
        <f t="shared" si="298"/>
        <v>-2.3481575168652576E-6</v>
      </c>
      <c r="I691" s="2">
        <f t="shared" si="298"/>
        <v>0.25280095541821607</v>
      </c>
      <c r="J691" s="2">
        <f t="shared" si="298"/>
        <v>1.0000005283687972</v>
      </c>
      <c r="K691" s="2">
        <f t="shared" si="298"/>
        <v>0.19010751543517238</v>
      </c>
      <c r="L691" s="2">
        <f t="shared" si="298"/>
        <v>7.9944881936516013E-2</v>
      </c>
      <c r="M691" s="2">
        <f t="shared" si="298"/>
        <v>0.35697818964996797</v>
      </c>
      <c r="N691" s="2">
        <f t="shared" si="298"/>
        <v>0.47215460374054125</v>
      </c>
      <c r="O691" s="2">
        <f t="shared" si="298"/>
        <v>0.63310026050720014</v>
      </c>
      <c r="P691" s="2">
        <f t="shared" si="298"/>
        <v>0.15664604159284376</v>
      </c>
      <c r="Q691" s="2">
        <f t="shared" si="298"/>
        <v>0.21584931994942624</v>
      </c>
      <c r="R691" s="2">
        <f t="shared" si="298"/>
        <v>0.3309545235555133</v>
      </c>
    </row>
    <row r="692" spans="1:18">
      <c r="A692" s="3" t="s">
        <v>7</v>
      </c>
      <c r="B692" s="2">
        <f t="shared" ref="B692:R692" si="299">(B686-58.099)/(78.818-58.099)</f>
        <v>0.63676677116208946</v>
      </c>
      <c r="C692" s="2">
        <f t="shared" si="299"/>
        <v>0.65753361766447505</v>
      </c>
      <c r="D692" s="2">
        <f t="shared" si="299"/>
        <v>0.73280092856915779</v>
      </c>
      <c r="E692" s="2">
        <f t="shared" si="299"/>
        <v>0.5380533244494573</v>
      </c>
      <c r="F692" s="2">
        <f t="shared" si="299"/>
        <v>0.48645346147462165</v>
      </c>
      <c r="G692" s="2">
        <f t="shared" si="299"/>
        <v>0.84177125037817369</v>
      </c>
      <c r="H692" s="2">
        <f t="shared" si="299"/>
        <v>1.8835074204906568E-5</v>
      </c>
      <c r="I692" s="2">
        <f t="shared" si="299"/>
        <v>0.17384067175292223</v>
      </c>
      <c r="J692" s="2">
        <f t="shared" si="299"/>
        <v>0.56616702708366051</v>
      </c>
      <c r="K692" s="2">
        <f t="shared" si="299"/>
        <v>0.59351084605976168</v>
      </c>
      <c r="L692" s="2">
        <f t="shared" si="299"/>
        <v>0.33618370789625246</v>
      </c>
      <c r="M692" s="2">
        <f t="shared" si="299"/>
        <v>0.33201173895999786</v>
      </c>
      <c r="N692" s="2">
        <f t="shared" si="299"/>
        <v>0.68606757789186124</v>
      </c>
      <c r="O692" s="2">
        <f t="shared" si="299"/>
        <v>0.48129265114264252</v>
      </c>
      <c r="P692" s="2">
        <f t="shared" si="299"/>
        <v>0.21261384919462431</v>
      </c>
      <c r="Q692" s="2">
        <f t="shared" si="299"/>
        <v>0.68588275872623117</v>
      </c>
      <c r="R692" s="2">
        <f t="shared" si="299"/>
        <v>0.61543487243357464</v>
      </c>
    </row>
    <row r="693" spans="1:18">
      <c r="A693" s="4" t="s">
        <v>8</v>
      </c>
      <c r="B693" s="2">
        <f t="shared" ref="B693:R693" si="300">(B687-27.796)/(114.25-27.796)</f>
        <v>0.49198677909639804</v>
      </c>
      <c r="C693" s="2">
        <f t="shared" si="300"/>
        <v>0.86617646378420898</v>
      </c>
      <c r="D693" s="2">
        <f t="shared" si="300"/>
        <v>0.60631006084160366</v>
      </c>
      <c r="E693" s="2">
        <f t="shared" si="300"/>
        <v>0.10860237814329009</v>
      </c>
      <c r="F693" s="2">
        <f t="shared" si="300"/>
        <v>0.28653862169477406</v>
      </c>
      <c r="G693" s="2">
        <f t="shared" si="300"/>
        <v>0.16792213200083284</v>
      </c>
      <c r="H693" s="2">
        <f t="shared" si="300"/>
        <v>0.10460985032502831</v>
      </c>
      <c r="I693" s="2">
        <f t="shared" si="300"/>
        <v>0.23658870613274108</v>
      </c>
      <c r="J693" s="2">
        <f t="shared" si="300"/>
        <v>0.33211973997732891</v>
      </c>
      <c r="K693" s="2">
        <f t="shared" si="300"/>
        <v>0.32825745483147106</v>
      </c>
      <c r="L693" s="2">
        <f t="shared" si="300"/>
        <v>0.45730388414648249</v>
      </c>
      <c r="M693" s="2">
        <f t="shared" si="300"/>
        <v>0.48598422282369808</v>
      </c>
      <c r="N693" s="2">
        <f t="shared" si="300"/>
        <v>4.2797325745506685E-6</v>
      </c>
      <c r="O693" s="2">
        <f t="shared" si="300"/>
        <v>0.18283503365951836</v>
      </c>
      <c r="P693" s="2">
        <f t="shared" si="300"/>
        <v>0.25232215976126027</v>
      </c>
      <c r="Q693" s="2">
        <f t="shared" si="300"/>
        <v>0.58697642677030559</v>
      </c>
      <c r="R693" s="2">
        <f t="shared" si="300"/>
        <v>0.33237976264834473</v>
      </c>
    </row>
    <row r="694" spans="1:18">
      <c r="A694" s="3" t="s">
        <v>70</v>
      </c>
      <c r="B694" s="2">
        <f t="shared" ref="B694:R694" si="301">(B688+B689+B690+B691+B692+B693)/6</f>
        <v>0.34581270551042054</v>
      </c>
      <c r="C694" s="2">
        <f t="shared" si="301"/>
        <v>0.56671722521187362</v>
      </c>
      <c r="D694" s="2">
        <f t="shared" si="301"/>
        <v>0.5052315068292681</v>
      </c>
      <c r="E694" s="2">
        <f t="shared" si="301"/>
        <v>0.29405887587809454</v>
      </c>
      <c r="F694" s="2">
        <f t="shared" si="301"/>
        <v>0.29025866066810863</v>
      </c>
      <c r="G694" s="2">
        <f t="shared" si="301"/>
        <v>0.30495969496034875</v>
      </c>
      <c r="H694" s="2">
        <f t="shared" si="301"/>
        <v>8.8794283809878027E-2</v>
      </c>
      <c r="I694" s="2">
        <f t="shared" si="301"/>
        <v>0.29015222734649654</v>
      </c>
      <c r="J694" s="2">
        <f t="shared" si="301"/>
        <v>0.53655163864059086</v>
      </c>
      <c r="K694" s="2">
        <f t="shared" si="301"/>
        <v>0.35099065558303316</v>
      </c>
      <c r="L694" s="2">
        <f t="shared" si="301"/>
        <v>0.23942125290045468</v>
      </c>
      <c r="M694" s="2">
        <f t="shared" si="301"/>
        <v>0.25935474814074883</v>
      </c>
      <c r="N694" s="2">
        <f t="shared" si="301"/>
        <v>0.3688112044168288</v>
      </c>
      <c r="O694" s="2">
        <f t="shared" si="301"/>
        <v>0.31380504015741822</v>
      </c>
      <c r="P694" s="2">
        <f t="shared" si="301"/>
        <v>0.24332989389139548</v>
      </c>
      <c r="Q694" s="2">
        <f t="shared" si="301"/>
        <v>0.3657529636150551</v>
      </c>
      <c r="R694" s="2">
        <f t="shared" si="301"/>
        <v>0.43316565534685542</v>
      </c>
    </row>
    <row r="696" spans="1:18">
      <c r="A696" s="1" t="s">
        <v>9</v>
      </c>
      <c r="B696" s="2" t="s">
        <v>28</v>
      </c>
      <c r="C696" s="2" t="s">
        <v>29</v>
      </c>
      <c r="D696" s="2" t="s">
        <v>30</v>
      </c>
      <c r="E696" s="2" t="s">
        <v>31</v>
      </c>
      <c r="F696" s="2" t="s">
        <v>32</v>
      </c>
      <c r="G696" s="2" t="s">
        <v>33</v>
      </c>
      <c r="H696" s="2" t="s">
        <v>34</v>
      </c>
      <c r="I696" s="2" t="s">
        <v>35</v>
      </c>
      <c r="J696" s="2" t="s">
        <v>36</v>
      </c>
      <c r="K696" s="2" t="s">
        <v>37</v>
      </c>
      <c r="L696" s="2" t="s">
        <v>38</v>
      </c>
      <c r="M696" s="2" t="s">
        <v>39</v>
      </c>
      <c r="N696" s="2" t="s">
        <v>40</v>
      </c>
      <c r="O696" s="2" t="s">
        <v>41</v>
      </c>
      <c r="P696" s="2" t="s">
        <v>42</v>
      </c>
      <c r="Q696" s="2" t="s">
        <v>43</v>
      </c>
      <c r="R696" s="2" t="s">
        <v>44</v>
      </c>
    </row>
    <row r="697" spans="1:18">
      <c r="A697" s="4"/>
      <c r="B697" s="2">
        <v>1989</v>
      </c>
      <c r="C697" s="2">
        <v>1989</v>
      </c>
      <c r="D697" s="2">
        <v>1989</v>
      </c>
      <c r="E697" s="2">
        <v>1989</v>
      </c>
      <c r="F697" s="2">
        <v>1989</v>
      </c>
      <c r="G697" s="2">
        <v>1989</v>
      </c>
      <c r="H697" s="2">
        <v>1989</v>
      </c>
      <c r="I697" s="2">
        <v>1989</v>
      </c>
      <c r="J697" s="2">
        <v>1989</v>
      </c>
      <c r="K697" s="2">
        <v>1989</v>
      </c>
      <c r="L697" s="2">
        <v>1989</v>
      </c>
      <c r="M697" s="2">
        <v>1989</v>
      </c>
      <c r="N697" s="2">
        <v>1989</v>
      </c>
      <c r="O697" s="2">
        <v>1989</v>
      </c>
      <c r="P697" s="2">
        <v>1989</v>
      </c>
      <c r="Q697" s="2">
        <v>1989</v>
      </c>
      <c r="R697" s="2">
        <v>1989</v>
      </c>
    </row>
    <row r="698" spans="1:18">
      <c r="A698" s="1" t="s">
        <v>0</v>
      </c>
      <c r="B698" s="3">
        <v>23382.510957320283</v>
      </c>
      <c r="C698" s="3">
        <v>24405.721084608045</v>
      </c>
      <c r="D698" s="3">
        <v>27293.87771549066</v>
      </c>
      <c r="E698" s="3">
        <v>25080.383657874747</v>
      </c>
      <c r="F698" s="3">
        <v>23127.015482466672</v>
      </c>
      <c r="G698" s="3">
        <v>23713.583230496461</v>
      </c>
      <c r="H698" s="3">
        <v>23288.31511007392</v>
      </c>
      <c r="I698" s="3">
        <v>23450.772627739516</v>
      </c>
      <c r="J698" s="3">
        <v>25208.525802058397</v>
      </c>
      <c r="K698" s="3">
        <v>25394.981749337523</v>
      </c>
      <c r="L698" s="3">
        <v>19633.029662251229</v>
      </c>
      <c r="M698" s="3">
        <v>31860.415702314906</v>
      </c>
      <c r="N698" s="3">
        <v>19085.036609856092</v>
      </c>
      <c r="O698" s="3">
        <v>24569.977002387361</v>
      </c>
      <c r="P698" s="3">
        <v>33541.460733751126</v>
      </c>
      <c r="Q698" s="3">
        <v>22314.555579956384</v>
      </c>
      <c r="R698" s="3">
        <v>32712.2564329456</v>
      </c>
    </row>
    <row r="699" spans="1:18">
      <c r="A699" s="1" t="s">
        <v>1</v>
      </c>
      <c r="B699" s="2">
        <v>35811</v>
      </c>
      <c r="C699" s="2">
        <v>43742</v>
      </c>
      <c r="D699" s="2">
        <v>40013</v>
      </c>
      <c r="E699" s="2">
        <v>35263</v>
      </c>
      <c r="F699" s="2">
        <v>33735</v>
      </c>
      <c r="G699" s="2">
        <v>42782</v>
      </c>
      <c r="H699" s="2">
        <v>40713</v>
      </c>
      <c r="I699" s="2">
        <v>33942</v>
      </c>
      <c r="J699" s="2">
        <v>34997</v>
      </c>
      <c r="K699" s="2">
        <v>38127</v>
      </c>
      <c r="L699" s="2">
        <v>30335</v>
      </c>
      <c r="M699" s="2">
        <v>36944</v>
      </c>
      <c r="N699" s="2">
        <v>34160</v>
      </c>
      <c r="O699" s="2">
        <v>32985</v>
      </c>
      <c r="P699" s="2">
        <v>36791</v>
      </c>
      <c r="Q699" s="2">
        <v>35255</v>
      </c>
      <c r="R699" s="2">
        <v>47632</v>
      </c>
    </row>
    <row r="700" spans="1:18">
      <c r="A700" s="1" t="s">
        <v>2</v>
      </c>
      <c r="B700" s="2">
        <v>24.845345820631159</v>
      </c>
      <c r="C700" s="2">
        <v>24.441399884894832</v>
      </c>
      <c r="D700" s="2">
        <v>23.316781405079304</v>
      </c>
      <c r="E700" s="2">
        <v>23.250665901020323</v>
      </c>
      <c r="F700" s="2">
        <v>28.549904497514561</v>
      </c>
      <c r="G700" s="2">
        <v>20.790208627109198</v>
      </c>
      <c r="H700" s="2">
        <v>22.300668417110941</v>
      </c>
      <c r="I700" s="2">
        <v>23.638663357343791</v>
      </c>
      <c r="J700" s="2">
        <v>33.274053976468018</v>
      </c>
      <c r="K700" s="2">
        <v>26.93104391667427</v>
      </c>
      <c r="L700" s="2">
        <v>22.80532057297318</v>
      </c>
      <c r="M700" s="2">
        <v>29.240697356885175</v>
      </c>
      <c r="N700" s="2">
        <v>22.69689890399982</v>
      </c>
      <c r="O700" s="2">
        <v>25.127281753637789</v>
      </c>
      <c r="P700" s="2">
        <v>30.464416068976476</v>
      </c>
      <c r="Q700" s="2">
        <v>18.522904236646017</v>
      </c>
      <c r="R700" s="2">
        <v>17.068956008603418</v>
      </c>
    </row>
    <row r="701" spans="1:18">
      <c r="A701" s="1" t="s">
        <v>3</v>
      </c>
      <c r="B701" s="2">
        <v>72.984446575239843</v>
      </c>
      <c r="C701" s="2">
        <v>136.11081947965187</v>
      </c>
      <c r="D701" s="2">
        <v>51.337178894619051</v>
      </c>
      <c r="E701" s="2">
        <v>69.723534551655646</v>
      </c>
      <c r="F701" s="2">
        <v>48.645762892835535</v>
      </c>
      <c r="G701" s="2">
        <v>45.079405887561919</v>
      </c>
      <c r="H701" s="2">
        <v>38.59474995669855</v>
      </c>
      <c r="I701" s="2">
        <v>116.44228836404078</v>
      </c>
      <c r="J701" s="2">
        <v>18.990546187180815</v>
      </c>
      <c r="K701" s="2">
        <v>111.21301736604177</v>
      </c>
      <c r="L701" s="2">
        <v>52.107585970976288</v>
      </c>
      <c r="M701" s="2">
        <v>72.479842476680517</v>
      </c>
      <c r="N701" s="2">
        <v>37.295157133448306</v>
      </c>
      <c r="O701" s="2">
        <v>63.421952961734632</v>
      </c>
      <c r="P701" s="2">
        <v>74.611921569613315</v>
      </c>
      <c r="Q701" s="2">
        <v>50.861835918016119</v>
      </c>
      <c r="R701" s="2">
        <v>20.113241539055462</v>
      </c>
    </row>
    <row r="702" spans="1:18">
      <c r="A702" s="6" t="s">
        <v>27</v>
      </c>
      <c r="B702" s="2">
        <v>75.248048780487807</v>
      </c>
      <c r="C702" s="2">
        <v>75.736560975609763</v>
      </c>
      <c r="D702" s="2">
        <v>77.065609756097587</v>
      </c>
      <c r="E702" s="2">
        <v>74.799756097560973</v>
      </c>
      <c r="F702" s="2">
        <v>74.792195121951238</v>
      </c>
      <c r="G702" s="2">
        <v>76.348780487804873</v>
      </c>
      <c r="H702" s="2">
        <v>76.804878048780495</v>
      </c>
      <c r="I702" s="2">
        <v>74.515609756097575</v>
      </c>
      <c r="J702" s="2">
        <v>78.818048780487814</v>
      </c>
      <c r="K702" s="2">
        <v>76.734146341463429</v>
      </c>
      <c r="L702" s="2">
        <v>74.824390243902442</v>
      </c>
      <c r="M702" s="2">
        <v>76.500487804878048</v>
      </c>
      <c r="N702" s="2">
        <v>76.813658536585379</v>
      </c>
      <c r="O702" s="2">
        <v>77.72682926829269</v>
      </c>
      <c r="P702" s="2">
        <v>77.421219512195137</v>
      </c>
      <c r="Q702" s="2">
        <v>75.582926829268317</v>
      </c>
      <c r="R702" s="2">
        <v>75.01707317073172</v>
      </c>
    </row>
    <row r="703" spans="1:18">
      <c r="A703" s="6" t="s">
        <v>8</v>
      </c>
      <c r="B703" s="2">
        <v>99.031000000000006</v>
      </c>
      <c r="C703" s="2">
        <v>98.509010000000004</v>
      </c>
      <c r="D703" s="2">
        <v>99.042640000000006</v>
      </c>
      <c r="E703" s="2">
        <v>109.07028</v>
      </c>
      <c r="F703" s="2">
        <v>111.21301</v>
      </c>
      <c r="G703" s="2">
        <v>93.182289999999995</v>
      </c>
      <c r="H703" s="2">
        <v>77.07996</v>
      </c>
      <c r="I703" s="2">
        <v>99.22</v>
      </c>
      <c r="J703" s="2">
        <v>95.406379999999999</v>
      </c>
      <c r="K703" s="2">
        <v>114.24995</v>
      </c>
      <c r="L703" s="2">
        <v>86.83954</v>
      </c>
      <c r="M703" s="2">
        <v>96.013959999999997</v>
      </c>
      <c r="N703" s="2">
        <v>104.7657</v>
      </c>
      <c r="O703" s="2">
        <v>89.775540000000007</v>
      </c>
      <c r="P703" s="2">
        <v>94.713359999999994</v>
      </c>
      <c r="Q703" s="2">
        <v>82.879509999999996</v>
      </c>
      <c r="R703" s="2">
        <v>95.840456666666697</v>
      </c>
    </row>
    <row r="704" spans="1:18">
      <c r="A704" s="3" t="s">
        <v>4</v>
      </c>
      <c r="B704" s="2">
        <f t="shared" ref="B704:R704" si="302">(B698-1076.04)/(33541.46-1076.04)</f>
        <v>0.68708400991948615</v>
      </c>
      <c r="C704" s="2">
        <f t="shared" si="302"/>
        <v>0.71860093245699719</v>
      </c>
      <c r="D704" s="2">
        <f t="shared" si="302"/>
        <v>0.80756194484749189</v>
      </c>
      <c r="E704" s="2">
        <f t="shared" si="302"/>
        <v>0.73938189180595071</v>
      </c>
      <c r="F704" s="2">
        <f t="shared" si="302"/>
        <v>0.67921423725510621</v>
      </c>
      <c r="G704" s="2">
        <f t="shared" si="302"/>
        <v>0.69728169943578311</v>
      </c>
      <c r="H704" s="2">
        <f t="shared" si="302"/>
        <v>0.6841825890462504</v>
      </c>
      <c r="I704" s="2">
        <f t="shared" si="302"/>
        <v>0.68918660617172101</v>
      </c>
      <c r="J704" s="2">
        <f t="shared" si="302"/>
        <v>0.7433289266566826</v>
      </c>
      <c r="K704" s="2">
        <f t="shared" si="302"/>
        <v>0.74907214350954099</v>
      </c>
      <c r="L704" s="2">
        <f t="shared" si="302"/>
        <v>0.57159247168991589</v>
      </c>
      <c r="M704" s="2">
        <f t="shared" si="302"/>
        <v>0.94822046664774107</v>
      </c>
      <c r="N704" s="2">
        <f t="shared" si="302"/>
        <v>0.55471318744239539</v>
      </c>
      <c r="O704" s="2">
        <f t="shared" si="302"/>
        <v>0.72366034391014689</v>
      </c>
      <c r="P704" s="2">
        <f t="shared" si="302"/>
        <v>1.0000000226010053</v>
      </c>
      <c r="Q704" s="2">
        <f t="shared" si="302"/>
        <v>0.65418884400560307</v>
      </c>
      <c r="R704" s="2">
        <f t="shared" si="302"/>
        <v>0.97445886832653328</v>
      </c>
    </row>
    <row r="705" spans="1:18">
      <c r="A705" s="3" t="s">
        <v>5</v>
      </c>
      <c r="B705" s="2">
        <f>(B699-2525)/(47632-2525)</f>
        <v>0.73793424523909812</v>
      </c>
      <c r="C705" s="2">
        <f t="shared" ref="C705:R705" si="303">(C699-2525)/(47632-2525)</f>
        <v>0.91376061365198302</v>
      </c>
      <c r="D705" s="2">
        <f t="shared" si="303"/>
        <v>0.83109051810140333</v>
      </c>
      <c r="E705" s="2">
        <f t="shared" si="303"/>
        <v>0.72578535482297646</v>
      </c>
      <c r="F705" s="2">
        <f t="shared" si="303"/>
        <v>0.69191034650941097</v>
      </c>
      <c r="G705" s="2">
        <f t="shared" si="303"/>
        <v>0.89247788591571153</v>
      </c>
      <c r="H705" s="2">
        <f t="shared" si="303"/>
        <v>0.84660917374243461</v>
      </c>
      <c r="I705" s="2">
        <f t="shared" si="303"/>
        <v>0.69649943467754449</v>
      </c>
      <c r="J705" s="2">
        <f t="shared" si="303"/>
        <v>0.71988826567938458</v>
      </c>
      <c r="K705" s="2">
        <f t="shared" si="303"/>
        <v>0.78927882590285325</v>
      </c>
      <c r="L705" s="2">
        <f t="shared" si="303"/>
        <v>0.61653401911011596</v>
      </c>
      <c r="M705" s="2">
        <f t="shared" si="303"/>
        <v>0.76305229786951023</v>
      </c>
      <c r="N705" s="2">
        <f t="shared" si="303"/>
        <v>0.7013323874343228</v>
      </c>
      <c r="O705" s="2">
        <f t="shared" si="303"/>
        <v>0.67528321546544878</v>
      </c>
      <c r="P705" s="2">
        <f t="shared" si="303"/>
        <v>0.75966036313654195</v>
      </c>
      <c r="Q705" s="2">
        <f t="shared" si="303"/>
        <v>0.72560799875850757</v>
      </c>
      <c r="R705" s="2">
        <f t="shared" si="303"/>
        <v>1</v>
      </c>
    </row>
    <row r="706" spans="1:18">
      <c r="A706" s="3" t="s">
        <v>6</v>
      </c>
      <c r="B706" s="2">
        <f t="shared" ref="B706:R706" si="304">(B700-13.922)/(35.835-13.922)</f>
        <v>0.49848700865382006</v>
      </c>
      <c r="C706" s="2">
        <f t="shared" si="304"/>
        <v>0.48005293136014382</v>
      </c>
      <c r="D706" s="2">
        <f t="shared" si="304"/>
        <v>0.42873095445987786</v>
      </c>
      <c r="E706" s="2">
        <f t="shared" si="304"/>
        <v>0.4257137726929367</v>
      </c>
      <c r="F706" s="2">
        <f t="shared" si="304"/>
        <v>0.66754458529250038</v>
      </c>
      <c r="G706" s="2">
        <f t="shared" si="304"/>
        <v>0.31343077748866871</v>
      </c>
      <c r="H706" s="2">
        <f t="shared" si="304"/>
        <v>0.38236062689321137</v>
      </c>
      <c r="I706" s="2">
        <f t="shared" si="304"/>
        <v>0.44342004095029391</v>
      </c>
      <c r="J706" s="2">
        <f t="shared" si="304"/>
        <v>0.88313119958326181</v>
      </c>
      <c r="K706" s="2">
        <f t="shared" si="304"/>
        <v>0.59366786458605714</v>
      </c>
      <c r="L706" s="2">
        <f t="shared" si="304"/>
        <v>0.40539043366828731</v>
      </c>
      <c r="M706" s="2">
        <f t="shared" si="304"/>
        <v>0.69906892515334162</v>
      </c>
      <c r="N706" s="2">
        <f t="shared" si="304"/>
        <v>0.40044260959247108</v>
      </c>
      <c r="O706" s="2">
        <f t="shared" si="304"/>
        <v>0.51135315810878423</v>
      </c>
      <c r="P706" s="2">
        <f t="shared" si="304"/>
        <v>0.7549133422615103</v>
      </c>
      <c r="Q706" s="2">
        <f t="shared" si="304"/>
        <v>0.20996231628010845</v>
      </c>
      <c r="R706" s="2">
        <f t="shared" si="304"/>
        <v>0.14361137263740326</v>
      </c>
    </row>
    <row r="707" spans="1:18">
      <c r="A707" s="3" t="s">
        <v>3</v>
      </c>
      <c r="B707" s="2">
        <f t="shared" ref="B707:R707" si="305">(B701-14.907)/(136.689-14.907)</f>
        <v>0.47689680392208905</v>
      </c>
      <c r="C707" s="2">
        <f t="shared" si="305"/>
        <v>0.99525233186884654</v>
      </c>
      <c r="D707" s="2">
        <f t="shared" si="305"/>
        <v>0.299142557148175</v>
      </c>
      <c r="E707" s="2">
        <f t="shared" si="305"/>
        <v>0.45012017007156763</v>
      </c>
      <c r="F707" s="2">
        <f t="shared" si="305"/>
        <v>0.27704227958840832</v>
      </c>
      <c r="G707" s="2">
        <f t="shared" si="305"/>
        <v>0.24775751660805306</v>
      </c>
      <c r="H707" s="2">
        <f t="shared" si="305"/>
        <v>0.19450945095907893</v>
      </c>
      <c r="I707" s="2">
        <f t="shared" si="305"/>
        <v>0.83374627091065001</v>
      </c>
      <c r="J707" s="2">
        <f t="shared" si="305"/>
        <v>3.353160719302372E-2</v>
      </c>
      <c r="K707" s="2">
        <f t="shared" si="305"/>
        <v>0.79080666573091074</v>
      </c>
      <c r="L707" s="2">
        <f t="shared" si="305"/>
        <v>0.30546867329306704</v>
      </c>
      <c r="M707" s="2">
        <f t="shared" si="305"/>
        <v>0.47275330078895506</v>
      </c>
      <c r="N707" s="2">
        <f t="shared" si="305"/>
        <v>0.18383798207820784</v>
      </c>
      <c r="O707" s="2">
        <f t="shared" si="305"/>
        <v>0.39837539999125188</v>
      </c>
      <c r="P707" s="2">
        <f t="shared" si="305"/>
        <v>0.49026064253841556</v>
      </c>
      <c r="Q707" s="2">
        <f t="shared" si="305"/>
        <v>0.29523932862012542</v>
      </c>
      <c r="R707" s="2">
        <f t="shared" si="305"/>
        <v>4.2750501215741754E-2</v>
      </c>
    </row>
    <row r="708" spans="1:18">
      <c r="A708" s="3" t="s">
        <v>7</v>
      </c>
      <c r="B708" s="2">
        <f>(B702-58.099)/(78.818-58.099)</f>
        <v>0.82769674117900527</v>
      </c>
      <c r="C708" s="2">
        <f t="shared" ref="C708:R708" si="306">(C702-58.099)/(78.818-58.099)</f>
        <v>0.85127472250638381</v>
      </c>
      <c r="D708" s="2">
        <f t="shared" si="306"/>
        <v>0.91542109928556348</v>
      </c>
      <c r="E708" s="2">
        <f t="shared" si="306"/>
        <v>0.80605994968680805</v>
      </c>
      <c r="F708" s="2">
        <f t="shared" si="306"/>
        <v>0.80569502012410055</v>
      </c>
      <c r="G708" s="2">
        <f t="shared" si="306"/>
        <v>0.88082342235652666</v>
      </c>
      <c r="H708" s="2">
        <f t="shared" si="306"/>
        <v>0.9028369153328103</v>
      </c>
      <c r="I708" s="2">
        <f t="shared" si="306"/>
        <v>0.79234566128179829</v>
      </c>
      <c r="J708" s="2">
        <f t="shared" si="306"/>
        <v>1.000002354384276</v>
      </c>
      <c r="K708" s="2">
        <f t="shared" si="306"/>
        <v>0.89942305813328016</v>
      </c>
      <c r="L708" s="2">
        <f t="shared" si="306"/>
        <v>0.8072489137459552</v>
      </c>
      <c r="M708" s="2">
        <f t="shared" si="306"/>
        <v>0.88814555745345092</v>
      </c>
      <c r="N708" s="2">
        <f t="shared" si="306"/>
        <v>0.90326070450240747</v>
      </c>
      <c r="O708" s="2">
        <f t="shared" si="306"/>
        <v>0.94733477814048417</v>
      </c>
      <c r="P708" s="2">
        <f t="shared" si="306"/>
        <v>0.93258456065423712</v>
      </c>
      <c r="Q708" s="2">
        <f t="shared" si="306"/>
        <v>0.84385958923057669</v>
      </c>
      <c r="R708" s="2">
        <f t="shared" si="306"/>
        <v>0.81654873163433195</v>
      </c>
    </row>
    <row r="709" spans="1:18">
      <c r="A709" s="4" t="s">
        <v>8</v>
      </c>
      <c r="B709" s="2">
        <f>(B703-27.796)/(114.25-27.796)</f>
        <v>0.82396418904851143</v>
      </c>
      <c r="C709" s="2">
        <f t="shared" ref="C709:R709" si="307">(C703-27.796)/(114.25-27.796)</f>
        <v>0.8179264117334073</v>
      </c>
      <c r="D709" s="2">
        <f t="shared" si="307"/>
        <v>0.82409882712193772</v>
      </c>
      <c r="E709" s="2">
        <f t="shared" si="307"/>
        <v>0.9400869826728665</v>
      </c>
      <c r="F709" s="2">
        <f t="shared" si="307"/>
        <v>0.96487160802276351</v>
      </c>
      <c r="G709" s="2">
        <f t="shared" si="307"/>
        <v>0.75631306822125055</v>
      </c>
      <c r="H709" s="2">
        <f t="shared" si="307"/>
        <v>0.57005991625604358</v>
      </c>
      <c r="I709" s="2">
        <f t="shared" si="307"/>
        <v>0.8261503227149698</v>
      </c>
      <c r="J709" s="2">
        <f t="shared" si="307"/>
        <v>0.78203877206375627</v>
      </c>
      <c r="K709" s="2">
        <f t="shared" si="307"/>
        <v>0.99999942165776001</v>
      </c>
      <c r="L709" s="2">
        <f t="shared" si="307"/>
        <v>0.68294746339093615</v>
      </c>
      <c r="M709" s="2">
        <f t="shared" si="307"/>
        <v>0.78906655562495664</v>
      </c>
      <c r="N709" s="2">
        <f t="shared" si="307"/>
        <v>0.89029657390057115</v>
      </c>
      <c r="O709" s="2">
        <f t="shared" si="307"/>
        <v>0.7169077197122169</v>
      </c>
      <c r="P709" s="2">
        <f t="shared" si="307"/>
        <v>0.7740227172831794</v>
      </c>
      <c r="Q709" s="2">
        <f t="shared" si="307"/>
        <v>0.63714241099312918</v>
      </c>
      <c r="R709" s="2">
        <f t="shared" si="307"/>
        <v>0.78705966949668826</v>
      </c>
    </row>
    <row r="710" spans="1:18">
      <c r="A710" s="4" t="s">
        <v>70</v>
      </c>
      <c r="B710" s="2">
        <f>(B704+B705+B706+B707+B708+B709)/6</f>
        <v>0.6753438329936684</v>
      </c>
      <c r="C710" s="2">
        <f t="shared" ref="C710:R710" si="308">(C704+C705+C706+C707+C708+C709)/6</f>
        <v>0.79614465726296013</v>
      </c>
      <c r="D710" s="2">
        <f t="shared" si="308"/>
        <v>0.68434098349407479</v>
      </c>
      <c r="E710" s="2">
        <f t="shared" si="308"/>
        <v>0.68119135362551775</v>
      </c>
      <c r="F710" s="2">
        <f t="shared" si="308"/>
        <v>0.68104634613204829</v>
      </c>
      <c r="G710" s="2">
        <f t="shared" si="308"/>
        <v>0.63134739500433223</v>
      </c>
      <c r="H710" s="2">
        <f t="shared" si="308"/>
        <v>0.59675977870497154</v>
      </c>
      <c r="I710" s="2">
        <f t="shared" si="308"/>
        <v>0.71355805611782952</v>
      </c>
      <c r="J710" s="2">
        <f t="shared" si="308"/>
        <v>0.69365352092673083</v>
      </c>
      <c r="K710" s="2">
        <f t="shared" si="308"/>
        <v>0.80370799658673364</v>
      </c>
      <c r="L710" s="2">
        <f t="shared" si="308"/>
        <v>0.5648636624830462</v>
      </c>
      <c r="M710" s="2">
        <f t="shared" si="308"/>
        <v>0.76005118392299265</v>
      </c>
      <c r="N710" s="2">
        <f t="shared" si="308"/>
        <v>0.6056472408250626</v>
      </c>
      <c r="O710" s="2">
        <f t="shared" si="308"/>
        <v>0.6621524358880555</v>
      </c>
      <c r="P710" s="2">
        <f t="shared" si="308"/>
        <v>0.78524027474581493</v>
      </c>
      <c r="Q710" s="2">
        <f t="shared" si="308"/>
        <v>0.56100008131467505</v>
      </c>
      <c r="R710" s="2">
        <f t="shared" si="308"/>
        <v>0.62740485721844974</v>
      </c>
    </row>
    <row r="712" spans="1:18">
      <c r="A712" s="1" t="s">
        <v>9</v>
      </c>
      <c r="B712" s="2" t="s">
        <v>10</v>
      </c>
      <c r="C712" s="2" t="s">
        <v>11</v>
      </c>
      <c r="D712" s="2" t="s">
        <v>12</v>
      </c>
      <c r="E712" s="2" t="s">
        <v>13</v>
      </c>
      <c r="F712" s="2" t="s">
        <v>14</v>
      </c>
      <c r="G712" s="2" t="s">
        <v>15</v>
      </c>
      <c r="H712" s="2" t="s">
        <v>16</v>
      </c>
      <c r="I712" s="2" t="s">
        <v>17</v>
      </c>
      <c r="J712" s="2" t="s">
        <v>18</v>
      </c>
      <c r="K712" s="2" t="s">
        <v>19</v>
      </c>
      <c r="L712" s="2" t="s">
        <v>20</v>
      </c>
      <c r="M712" s="2" t="s">
        <v>21</v>
      </c>
      <c r="N712" s="2" t="s">
        <v>22</v>
      </c>
      <c r="O712" s="2" t="s">
        <v>23</v>
      </c>
      <c r="P712" s="2" t="s">
        <v>24</v>
      </c>
      <c r="Q712" s="2" t="s">
        <v>25</v>
      </c>
      <c r="R712" s="2" t="s">
        <v>26</v>
      </c>
    </row>
    <row r="713" spans="1:18">
      <c r="B713" s="2">
        <v>1988</v>
      </c>
      <c r="C713" s="2">
        <v>1988</v>
      </c>
      <c r="D713" s="2">
        <v>1988</v>
      </c>
      <c r="E713" s="2">
        <v>1988</v>
      </c>
      <c r="F713" s="2">
        <v>1988</v>
      </c>
      <c r="G713" s="2">
        <v>1988</v>
      </c>
      <c r="H713" s="2">
        <v>1988</v>
      </c>
      <c r="I713" s="2">
        <v>1988</v>
      </c>
      <c r="J713" s="2">
        <v>1988</v>
      </c>
      <c r="K713" s="2">
        <v>1988</v>
      </c>
      <c r="L713" s="2">
        <v>1988</v>
      </c>
      <c r="M713" s="2">
        <v>1988</v>
      </c>
      <c r="N713" s="2">
        <v>1988</v>
      </c>
      <c r="O713" s="2">
        <v>1988</v>
      </c>
      <c r="P713" s="2">
        <v>1988</v>
      </c>
      <c r="Q713" s="2">
        <v>1988</v>
      </c>
      <c r="R713" s="2">
        <v>1988</v>
      </c>
    </row>
    <row r="714" spans="1:18">
      <c r="A714" s="1" t="s">
        <v>0</v>
      </c>
      <c r="B714" s="3">
        <v>8502.9326107146735</v>
      </c>
      <c r="C714" s="3">
        <v>8309.8067709367497</v>
      </c>
      <c r="D714" s="3">
        <v>6246.187830537111</v>
      </c>
      <c r="E714" s="3">
        <v>1049.6293429554694</v>
      </c>
      <c r="F714" s="3">
        <v>5766.7295415221488</v>
      </c>
      <c r="G714" s="3">
        <v>6000.0711456911677</v>
      </c>
      <c r="H714" s="3">
        <v>1133.8762440064224</v>
      </c>
      <c r="I714" s="3">
        <v>1807.5159552867103</v>
      </c>
      <c r="J714" s="3">
        <v>6120.9834649664281</v>
      </c>
      <c r="K714" s="3">
        <v>9536.8599566441371</v>
      </c>
      <c r="L714" s="3">
        <v>5552.3496189122952</v>
      </c>
      <c r="M714" s="3">
        <v>2441.068889398613</v>
      </c>
      <c r="N714" s="3">
        <v>3275.1790894732003</v>
      </c>
      <c r="O714" s="3">
        <v>4221.1151002411161</v>
      </c>
      <c r="P714" s="3">
        <v>7664.8018207083833</v>
      </c>
      <c r="Q714" s="3">
        <v>7294.2120562237105</v>
      </c>
      <c r="R714" s="3">
        <v>10350.905366770849</v>
      </c>
    </row>
    <row r="715" spans="1:18">
      <c r="A715" s="1" t="s">
        <v>1</v>
      </c>
      <c r="B715" s="2">
        <v>19027</v>
      </c>
      <c r="C715" s="2">
        <v>11875</v>
      </c>
      <c r="D715" s="2">
        <v>17673</v>
      </c>
      <c r="E715" s="2">
        <v>2538</v>
      </c>
      <c r="F715" s="2">
        <v>14934</v>
      </c>
      <c r="G715" s="2">
        <v>13792</v>
      </c>
      <c r="H715" s="2">
        <v>3299</v>
      </c>
      <c r="I715" s="2">
        <v>5239</v>
      </c>
      <c r="J715" s="2">
        <v>12141</v>
      </c>
      <c r="K715" s="2">
        <v>16818</v>
      </c>
      <c r="L715" s="2">
        <v>10216</v>
      </c>
      <c r="M715" s="2">
        <v>6080</v>
      </c>
      <c r="N715" s="2">
        <v>6959</v>
      </c>
      <c r="O715" s="2">
        <v>10587</v>
      </c>
      <c r="P715" s="2">
        <v>15144</v>
      </c>
      <c r="Q715" s="2">
        <v>17837</v>
      </c>
      <c r="R715" s="2">
        <v>27126</v>
      </c>
    </row>
    <row r="716" spans="1:18">
      <c r="A716" s="1" t="s">
        <v>2</v>
      </c>
      <c r="B716" s="2">
        <v>21.959806234355586</v>
      </c>
      <c r="C716" s="2">
        <v>34.087014614066376</v>
      </c>
      <c r="D716" s="2">
        <v>29.685205399129078</v>
      </c>
      <c r="E716" s="2">
        <v>36.581190965631265</v>
      </c>
      <c r="F716" s="2">
        <v>23.077893800166869</v>
      </c>
      <c r="G716" s="2">
        <v>15.697243528128213</v>
      </c>
      <c r="H716" s="2">
        <v>22.44551083989667</v>
      </c>
      <c r="I716" s="2">
        <v>31.530317980581739</v>
      </c>
      <c r="J716" s="2">
        <v>33.74993958211666</v>
      </c>
      <c r="K716" s="2">
        <v>23.950909183376208</v>
      </c>
      <c r="L716" s="2">
        <v>29.843342150113678</v>
      </c>
      <c r="M716" s="2">
        <v>20.121949693561668</v>
      </c>
      <c r="N716" s="2">
        <v>31.201354412807682</v>
      </c>
      <c r="O716" s="2">
        <v>21.070133708980901</v>
      </c>
      <c r="P716" s="2">
        <v>26.243707656055932</v>
      </c>
      <c r="Q716" s="2">
        <v>18.991710619840788</v>
      </c>
      <c r="R716" s="2">
        <v>21.224304712387525</v>
      </c>
    </row>
    <row r="717" spans="1:18">
      <c r="A717" s="1" t="s">
        <v>3</v>
      </c>
      <c r="B717" s="2">
        <v>15.743458608705046</v>
      </c>
      <c r="C717" s="2">
        <v>91.461750596612958</v>
      </c>
      <c r="D717" s="2">
        <v>61.501026126047044</v>
      </c>
      <c r="E717" s="2">
        <v>30.978349296808304</v>
      </c>
      <c r="F717" s="2">
        <v>30.149988485278929</v>
      </c>
      <c r="G717" s="2">
        <v>60.921773808873368</v>
      </c>
      <c r="H717" s="2">
        <v>13.257946391077031</v>
      </c>
      <c r="I717" s="2">
        <v>44.866252157132877</v>
      </c>
      <c r="J717" s="2">
        <v>122.62422471106949</v>
      </c>
      <c r="K717" s="2">
        <v>38.465704044135542</v>
      </c>
      <c r="L717" s="2">
        <v>41.446421580286632</v>
      </c>
      <c r="M717" s="2">
        <v>55.331826792895733</v>
      </c>
      <c r="N717" s="2">
        <v>67.413469004299031</v>
      </c>
      <c r="O717" s="2">
        <v>83.675495924069935</v>
      </c>
      <c r="P717" s="2">
        <v>36.206833843427525</v>
      </c>
      <c r="Q717" s="2">
        <v>39.793813172605816</v>
      </c>
      <c r="R717" s="2">
        <v>47.799031640169474</v>
      </c>
    </row>
    <row r="718" spans="1:18">
      <c r="A718" s="6" t="s">
        <v>27</v>
      </c>
      <c r="B718" s="5">
        <v>71.100536585365859</v>
      </c>
      <c r="C718" s="5">
        <v>71.604390243902444</v>
      </c>
      <c r="D718" s="5">
        <v>72.955512195121969</v>
      </c>
      <c r="E718" s="5">
        <v>69.027121951219527</v>
      </c>
      <c r="F718" s="5">
        <v>68.061097560975625</v>
      </c>
      <c r="G718" s="5">
        <v>75.33234146341465</v>
      </c>
      <c r="H718" s="5">
        <v>57.84709756097562</v>
      </c>
      <c r="I718" s="5">
        <v>61.288268292682936</v>
      </c>
      <c r="J718" s="5">
        <v>69.586487804878061</v>
      </c>
      <c r="K718" s="5">
        <v>69.999317073170744</v>
      </c>
      <c r="L718" s="5">
        <v>64.567853658536592</v>
      </c>
      <c r="M718" s="5">
        <v>64.792536585365866</v>
      </c>
      <c r="N718" s="5">
        <v>72.000951219512189</v>
      </c>
      <c r="O718" s="5">
        <v>67.463756097560989</v>
      </c>
      <c r="P718" s="5">
        <v>61.940878048780498</v>
      </c>
      <c r="Q718" s="5">
        <v>72.131975609756097</v>
      </c>
      <c r="R718" s="5">
        <v>70.612365853658545</v>
      </c>
    </row>
    <row r="719" spans="1:18">
      <c r="A719" s="6" t="s">
        <v>48</v>
      </c>
      <c r="B719" s="5">
        <v>70.442660000000004</v>
      </c>
      <c r="C719" s="5">
        <v>102.17355999999999</v>
      </c>
      <c r="D719" s="5">
        <v>81.277370000000005</v>
      </c>
      <c r="E719" s="5">
        <v>36.876800000000003</v>
      </c>
      <c r="F719" s="5">
        <v>52.461199999999998</v>
      </c>
      <c r="G719" s="5">
        <v>41.72466</v>
      </c>
      <c r="H719" s="5">
        <v>36.724559999999997</v>
      </c>
      <c r="I719" s="5">
        <v>48.380899999999997</v>
      </c>
      <c r="J719" s="5">
        <v>57.315809999999999</v>
      </c>
      <c r="K719" s="5">
        <v>56.647919999999999</v>
      </c>
      <c r="L719" s="5">
        <v>65.715999999999994</v>
      </c>
      <c r="M719" s="5">
        <v>66.88382</v>
      </c>
      <c r="N719" s="5">
        <v>28.043240000000001</v>
      </c>
      <c r="O719" s="5">
        <v>40.145699999999998</v>
      </c>
      <c r="P719" s="5">
        <v>47.454410000000003</v>
      </c>
      <c r="Q719" s="5">
        <v>76.815049999999999</v>
      </c>
      <c r="R719" s="5">
        <v>57.391959999999997</v>
      </c>
    </row>
    <row r="720" spans="1:18">
      <c r="A720" s="3" t="s">
        <v>4</v>
      </c>
      <c r="B720" s="2">
        <f>(B714-1049.629)/(32410.14-1049.629)</f>
        <v>0.23766524756929738</v>
      </c>
      <c r="C720" s="2">
        <f t="shared" ref="C720:R720" si="309">(C714-1049.629)/(32410.14-1049.629)</f>
        <v>0.23150699843305328</v>
      </c>
      <c r="D720" s="2">
        <f t="shared" si="309"/>
        <v>0.16570389527572146</v>
      </c>
      <c r="E720" s="2">
        <f t="shared" si="309"/>
        <v>1.0935901824992635E-8</v>
      </c>
      <c r="F720" s="2">
        <f t="shared" si="309"/>
        <v>0.15041529589623553</v>
      </c>
      <c r="G720" s="2">
        <f t="shared" si="309"/>
        <v>0.1578559145828704</v>
      </c>
      <c r="H720" s="2">
        <f t="shared" si="309"/>
        <v>2.6864117107792836E-3</v>
      </c>
      <c r="I720" s="2">
        <f t="shared" si="309"/>
        <v>2.416691983388633E-2</v>
      </c>
      <c r="J720" s="2">
        <f t="shared" si="309"/>
        <v>0.16171147418377296</v>
      </c>
      <c r="K720" s="2">
        <f t="shared" si="309"/>
        <v>0.27063433235013729</v>
      </c>
      <c r="L720" s="2">
        <f t="shared" si="309"/>
        <v>0.14357931281516093</v>
      </c>
      <c r="M720" s="2">
        <f t="shared" si="309"/>
        <v>4.4369171452551051E-2</v>
      </c>
      <c r="N720" s="2">
        <f t="shared" si="309"/>
        <v>7.0966639844395413E-2</v>
      </c>
      <c r="O720" s="2">
        <f t="shared" si="309"/>
        <v>0.10112992419801821</v>
      </c>
      <c r="P720" s="2">
        <f t="shared" si="309"/>
        <v>0.21093957367940797</v>
      </c>
      <c r="Q720" s="2">
        <f t="shared" si="309"/>
        <v>0.19912249058134643</v>
      </c>
      <c r="R720" s="2">
        <f t="shared" si="309"/>
        <v>0.29659199005943654</v>
      </c>
    </row>
    <row r="721" spans="1:18">
      <c r="A721" s="3" t="s">
        <v>5</v>
      </c>
      <c r="B721" s="2">
        <f t="shared" ref="B721:R721" si="310">(B715-2538)/(46968-2538)</f>
        <v>0.37112311501237905</v>
      </c>
      <c r="C721" s="2">
        <f t="shared" si="310"/>
        <v>0.21015079900967815</v>
      </c>
      <c r="D721" s="2">
        <f t="shared" si="310"/>
        <v>0.34064821066846723</v>
      </c>
      <c r="E721" s="2">
        <f t="shared" si="310"/>
        <v>0</v>
      </c>
      <c r="F721" s="2">
        <f t="shared" si="310"/>
        <v>0.27900067521944633</v>
      </c>
      <c r="G721" s="2">
        <f t="shared" si="310"/>
        <v>0.25329732162952961</v>
      </c>
      <c r="H721" s="2">
        <f t="shared" si="310"/>
        <v>1.7128066621652036E-2</v>
      </c>
      <c r="I721" s="2">
        <f t="shared" si="310"/>
        <v>6.0792257483682194E-2</v>
      </c>
      <c r="J721" s="2">
        <f t="shared" si="310"/>
        <v>0.21613774476704928</v>
      </c>
      <c r="K721" s="2">
        <f t="shared" si="310"/>
        <v>0.3214044564483457</v>
      </c>
      <c r="L721" s="2">
        <f t="shared" si="310"/>
        <v>0.17281116362817917</v>
      </c>
      <c r="M721" s="2">
        <f t="shared" si="310"/>
        <v>7.9720909295521045E-2</v>
      </c>
      <c r="N721" s="2">
        <f t="shared" si="310"/>
        <v>9.9504839072698623E-2</v>
      </c>
      <c r="O721" s="2">
        <f t="shared" si="310"/>
        <v>0.1811613774476705</v>
      </c>
      <c r="P721" s="2">
        <f t="shared" si="310"/>
        <v>0.28372721134368672</v>
      </c>
      <c r="Q721" s="2">
        <f t="shared" si="310"/>
        <v>0.34433941030835019</v>
      </c>
      <c r="R721" s="2">
        <f t="shared" si="310"/>
        <v>0.55340985820391631</v>
      </c>
    </row>
    <row r="722" spans="1:18">
      <c r="A722" s="3" t="s">
        <v>6</v>
      </c>
      <c r="B722" s="2">
        <f>(B716-15.697)/(36.581-15.697)</f>
        <v>0.2998853780097484</v>
      </c>
      <c r="C722" s="2">
        <f t="shared" ref="C722:R722" si="311">(C716-15.697)/(36.581-15.697)</f>
        <v>0.88057913302367241</v>
      </c>
      <c r="D722" s="2">
        <f t="shared" si="311"/>
        <v>0.66980489365682228</v>
      </c>
      <c r="E722" s="2">
        <f t="shared" si="311"/>
        <v>1.0000091441118206</v>
      </c>
      <c r="F722" s="2">
        <f t="shared" si="311"/>
        <v>0.35342337675573976</v>
      </c>
      <c r="G722" s="2">
        <f t="shared" si="311"/>
        <v>1.1660990625084531E-5</v>
      </c>
      <c r="H722" s="2">
        <f t="shared" si="311"/>
        <v>0.32314263742083266</v>
      </c>
      <c r="I722" s="2">
        <f t="shared" si="311"/>
        <v>0.75815542906443867</v>
      </c>
      <c r="J722" s="2">
        <f t="shared" si="311"/>
        <v>0.86443878481692482</v>
      </c>
      <c r="K722" s="2">
        <f t="shared" si="311"/>
        <v>0.39522645007547441</v>
      </c>
      <c r="L722" s="2">
        <f t="shared" si="311"/>
        <v>0.67737704223873185</v>
      </c>
      <c r="M722" s="2">
        <f t="shared" si="311"/>
        <v>0.21188228756759564</v>
      </c>
      <c r="N722" s="2">
        <f t="shared" si="311"/>
        <v>0.74240348653551425</v>
      </c>
      <c r="O722" s="2">
        <f t="shared" si="311"/>
        <v>0.25728470163670275</v>
      </c>
      <c r="P722" s="2">
        <f t="shared" si="311"/>
        <v>0.50501377399233527</v>
      </c>
      <c r="Q722" s="2">
        <f t="shared" si="311"/>
        <v>0.15776243151890385</v>
      </c>
      <c r="R722" s="2">
        <f t="shared" si="311"/>
        <v>0.2646669561572268</v>
      </c>
    </row>
    <row r="723" spans="1:18">
      <c r="A723" s="3" t="s">
        <v>3</v>
      </c>
      <c r="B723" s="2">
        <f>(B717-13.258)/(126.835-13.258)</f>
        <v>2.1883467680120505E-2</v>
      </c>
      <c r="C723" s="2">
        <f t="shared" ref="C723:R723" si="312">(C717-13.258)/(126.835-13.258)</f>
        <v>0.68855270518338185</v>
      </c>
      <c r="D723" s="2">
        <f t="shared" si="312"/>
        <v>0.42476052480737336</v>
      </c>
      <c r="E723" s="2">
        <f t="shared" si="312"/>
        <v>0.15602057896236302</v>
      </c>
      <c r="F723" s="2">
        <f t="shared" si="312"/>
        <v>0.14872719375647298</v>
      </c>
      <c r="G723" s="2">
        <f t="shared" si="312"/>
        <v>0.41966044013201065</v>
      </c>
      <c r="H723" s="2">
        <f t="shared" si="312"/>
        <v>-4.7200509758446851E-7</v>
      </c>
      <c r="I723" s="2">
        <f t="shared" si="312"/>
        <v>0.27829800185894044</v>
      </c>
      <c r="J723" s="2">
        <f t="shared" si="312"/>
        <v>0.96292580990050358</v>
      </c>
      <c r="K723" s="2">
        <f t="shared" si="312"/>
        <v>0.22194373899764516</v>
      </c>
      <c r="L723" s="2">
        <f t="shared" si="312"/>
        <v>0.24818776319401492</v>
      </c>
      <c r="M723" s="2">
        <f t="shared" si="312"/>
        <v>0.37044319530270858</v>
      </c>
      <c r="N723" s="2">
        <f t="shared" si="312"/>
        <v>0.47681721655175818</v>
      </c>
      <c r="O723" s="2">
        <f t="shared" si="312"/>
        <v>0.6199978510091827</v>
      </c>
      <c r="P723" s="2">
        <f t="shared" si="312"/>
        <v>0.20205529150644519</v>
      </c>
      <c r="Q723" s="2">
        <f t="shared" si="312"/>
        <v>0.23363720799638851</v>
      </c>
      <c r="R723" s="2">
        <f t="shared" si="312"/>
        <v>0.30411995069573489</v>
      </c>
    </row>
    <row r="724" spans="1:18">
      <c r="A724" s="3" t="s">
        <v>7</v>
      </c>
      <c r="B724" s="2">
        <f t="shared" ref="B724:R724" si="313">(B718-57.847)/(78.399-57.847)</f>
        <v>0.64487819119140999</v>
      </c>
      <c r="C724" s="2">
        <f t="shared" si="313"/>
        <v>0.66939423140825427</v>
      </c>
      <c r="D724" s="2">
        <f t="shared" si="313"/>
        <v>0.73513586001955855</v>
      </c>
      <c r="E724" s="2">
        <f t="shared" si="313"/>
        <v>0.54399192055369439</v>
      </c>
      <c r="F724" s="2">
        <f t="shared" si="313"/>
        <v>0.49698800900037099</v>
      </c>
      <c r="G724" s="2">
        <f t="shared" si="313"/>
        <v>0.85078539623465599</v>
      </c>
      <c r="H724" s="2">
        <f t="shared" si="313"/>
        <v>4.7470307326875186E-6</v>
      </c>
      <c r="I724" s="2">
        <f t="shared" si="313"/>
        <v>0.16744201501960562</v>
      </c>
      <c r="J724" s="2">
        <f t="shared" si="313"/>
        <v>0.57120902125720419</v>
      </c>
      <c r="K724" s="2">
        <f t="shared" si="313"/>
        <v>0.59129608180083415</v>
      </c>
      <c r="L724" s="2">
        <f t="shared" si="313"/>
        <v>0.32701701335814476</v>
      </c>
      <c r="M724" s="2">
        <f t="shared" si="313"/>
        <v>0.33794942513457887</v>
      </c>
      <c r="N724" s="2">
        <f t="shared" si="313"/>
        <v>0.68868972457727651</v>
      </c>
      <c r="O724" s="2">
        <f t="shared" si="313"/>
        <v>0.46792312658432211</v>
      </c>
      <c r="P724" s="2">
        <f t="shared" si="313"/>
        <v>0.1991960903454893</v>
      </c>
      <c r="Q724" s="2">
        <f t="shared" si="313"/>
        <v>0.69506498685072482</v>
      </c>
      <c r="R724" s="2">
        <f t="shared" si="313"/>
        <v>0.62112523616477933</v>
      </c>
    </row>
    <row r="725" spans="1:18">
      <c r="A725" s="4" t="s">
        <v>8</v>
      </c>
      <c r="B725" s="2">
        <f t="shared" ref="B725:R725" si="314">(B719-28.043)/(114.626-28.042)</f>
        <v>0.48969393883396473</v>
      </c>
      <c r="C725" s="2">
        <f t="shared" si="314"/>
        <v>0.85616926914903446</v>
      </c>
      <c r="D725" s="2">
        <f t="shared" si="314"/>
        <v>0.61482918322091851</v>
      </c>
      <c r="E725" s="2">
        <f t="shared" si="314"/>
        <v>0.10202577843481478</v>
      </c>
      <c r="F725" s="2">
        <f t="shared" si="314"/>
        <v>0.28201746281068091</v>
      </c>
      <c r="G725" s="2">
        <f t="shared" si="314"/>
        <v>0.15801603067541348</v>
      </c>
      <c r="H725" s="2">
        <f t="shared" si="314"/>
        <v>0.10026748590963686</v>
      </c>
      <c r="I725" s="2">
        <f t="shared" si="314"/>
        <v>0.23489212787581998</v>
      </c>
      <c r="J725" s="2">
        <f t="shared" si="314"/>
        <v>0.33808567402753392</v>
      </c>
      <c r="K725" s="2">
        <f t="shared" si="314"/>
        <v>0.33037189319042776</v>
      </c>
      <c r="L725" s="2">
        <f t="shared" si="314"/>
        <v>0.43510348332255372</v>
      </c>
      <c r="M725" s="2">
        <f t="shared" si="314"/>
        <v>0.44859119467800057</v>
      </c>
      <c r="N725" s="2">
        <f t="shared" si="314"/>
        <v>2.7718747112812098E-6</v>
      </c>
      <c r="O725" s="2">
        <f t="shared" si="314"/>
        <v>0.13977986695001385</v>
      </c>
      <c r="P725" s="2">
        <f t="shared" si="314"/>
        <v>0.22419165203732794</v>
      </c>
      <c r="Q725" s="2">
        <f t="shared" si="314"/>
        <v>0.56329171671440448</v>
      </c>
      <c r="R725" s="2">
        <f t="shared" si="314"/>
        <v>0.33896516677446176</v>
      </c>
    </row>
    <row r="726" spans="1:18">
      <c r="A726" s="3" t="s">
        <v>71</v>
      </c>
      <c r="B726" s="2">
        <f t="shared" ref="B726:R726" si="315">(B720+B721+B722+B723+B724+B725)/6</f>
        <v>0.34418822304948665</v>
      </c>
      <c r="C726" s="2">
        <f t="shared" si="315"/>
        <v>0.58939218936784576</v>
      </c>
      <c r="D726" s="2">
        <f t="shared" si="315"/>
        <v>0.49181376127481019</v>
      </c>
      <c r="E726" s="2">
        <f t="shared" si="315"/>
        <v>0.3003412388330991</v>
      </c>
      <c r="F726" s="2">
        <f t="shared" si="315"/>
        <v>0.28509533557315775</v>
      </c>
      <c r="G726" s="2">
        <f t="shared" si="315"/>
        <v>0.30660446070751751</v>
      </c>
      <c r="H726" s="2">
        <f t="shared" si="315"/>
        <v>7.3871479448089319E-2</v>
      </c>
      <c r="I726" s="2">
        <f t="shared" si="315"/>
        <v>0.25395779185606221</v>
      </c>
      <c r="J726" s="2">
        <f t="shared" si="315"/>
        <v>0.51908475149216471</v>
      </c>
      <c r="K726" s="2">
        <f t="shared" si="315"/>
        <v>0.3551461588104774</v>
      </c>
      <c r="L726" s="2">
        <f t="shared" si="315"/>
        <v>0.33401262975946416</v>
      </c>
      <c r="M726" s="2">
        <f t="shared" si="315"/>
        <v>0.24882603057182595</v>
      </c>
      <c r="N726" s="2">
        <f t="shared" si="315"/>
        <v>0.34639744640939235</v>
      </c>
      <c r="O726" s="2">
        <f t="shared" si="315"/>
        <v>0.29454614130431839</v>
      </c>
      <c r="P726" s="2">
        <f t="shared" si="315"/>
        <v>0.27085393215078207</v>
      </c>
      <c r="Q726" s="2">
        <f t="shared" si="315"/>
        <v>0.36553637399501976</v>
      </c>
      <c r="R726" s="2">
        <f t="shared" si="315"/>
        <v>0.39647985967592597</v>
      </c>
    </row>
    <row r="728" spans="1:18">
      <c r="A728" s="1" t="s">
        <v>9</v>
      </c>
      <c r="B728" s="2" t="s">
        <v>28</v>
      </c>
      <c r="C728" s="2" t="s">
        <v>29</v>
      </c>
      <c r="D728" s="2" t="s">
        <v>30</v>
      </c>
      <c r="E728" s="2" t="s">
        <v>31</v>
      </c>
      <c r="F728" s="2" t="s">
        <v>32</v>
      </c>
      <c r="G728" s="2" t="s">
        <v>33</v>
      </c>
      <c r="H728" s="2" t="s">
        <v>34</v>
      </c>
      <c r="I728" s="2" t="s">
        <v>35</v>
      </c>
      <c r="J728" s="2" t="s">
        <v>36</v>
      </c>
      <c r="K728" s="2" t="s">
        <v>37</v>
      </c>
      <c r="L728" s="2" t="s">
        <v>38</v>
      </c>
      <c r="M728" s="2" t="s">
        <v>39</v>
      </c>
      <c r="N728" s="2" t="s">
        <v>40</v>
      </c>
      <c r="O728" s="2" t="s">
        <v>41</v>
      </c>
      <c r="P728" s="2" t="s">
        <v>42</v>
      </c>
      <c r="Q728" s="2" t="s">
        <v>43</v>
      </c>
      <c r="R728" s="2" t="s">
        <v>44</v>
      </c>
    </row>
    <row r="729" spans="1:18">
      <c r="A729" s="4"/>
      <c r="B729" s="2">
        <v>1988</v>
      </c>
      <c r="C729" s="2">
        <v>1988</v>
      </c>
      <c r="D729" s="2">
        <v>1988</v>
      </c>
      <c r="E729" s="2">
        <v>1988</v>
      </c>
      <c r="F729" s="2">
        <v>1988</v>
      </c>
      <c r="G729" s="2">
        <v>1988</v>
      </c>
      <c r="H729" s="2">
        <v>1988</v>
      </c>
      <c r="I729" s="2">
        <v>1988</v>
      </c>
      <c r="J729" s="2">
        <v>1988</v>
      </c>
      <c r="K729" s="2">
        <v>1988</v>
      </c>
      <c r="L729" s="2">
        <v>1988</v>
      </c>
      <c r="M729" s="2">
        <v>1988</v>
      </c>
      <c r="N729" s="2">
        <v>1988</v>
      </c>
      <c r="O729" s="2">
        <v>1988</v>
      </c>
      <c r="P729" s="2">
        <v>1988</v>
      </c>
      <c r="Q729" s="2">
        <v>1988</v>
      </c>
      <c r="R729" s="2">
        <v>1988</v>
      </c>
    </row>
    <row r="730" spans="1:18">
      <c r="A730" s="1" t="s">
        <v>0</v>
      </c>
      <c r="B730" s="3">
        <v>22884.616447070221</v>
      </c>
      <c r="C730" s="3">
        <v>23673.270347157264</v>
      </c>
      <c r="D730" s="3">
        <v>27075.830768615389</v>
      </c>
      <c r="E730" s="3">
        <v>24952.480446997946</v>
      </c>
      <c r="F730" s="3">
        <v>22089.028525982154</v>
      </c>
      <c r="G730" s="3">
        <v>22882.437650837666</v>
      </c>
      <c r="H730" s="3">
        <v>22541.981221736994</v>
      </c>
      <c r="I730" s="3">
        <v>22057.882078390652</v>
      </c>
      <c r="J730" s="3">
        <v>24021.925656001054</v>
      </c>
      <c r="K730" s="3">
        <v>24466.344652074516</v>
      </c>
      <c r="L730" s="3">
        <v>19623.516274285561</v>
      </c>
      <c r="M730" s="3">
        <v>31676.236968112069</v>
      </c>
      <c r="N730" s="3">
        <v>18241.779358959237</v>
      </c>
      <c r="O730" s="3">
        <v>24094.781823385678</v>
      </c>
      <c r="P730" s="3">
        <v>32410.138501168789</v>
      </c>
      <c r="Q730" s="3">
        <v>21873.682187230166</v>
      </c>
      <c r="R730" s="3">
        <v>31850.28983415752</v>
      </c>
    </row>
    <row r="731" spans="1:18">
      <c r="A731" s="1" t="s">
        <v>1</v>
      </c>
      <c r="B731" s="2">
        <v>34680</v>
      </c>
      <c r="C731" s="2">
        <v>42881</v>
      </c>
      <c r="D731" s="2">
        <v>39946</v>
      </c>
      <c r="E731" s="2">
        <v>35025</v>
      </c>
      <c r="F731" s="2">
        <v>32228</v>
      </c>
      <c r="G731" s="2">
        <v>41818</v>
      </c>
      <c r="H731" s="2">
        <v>39843</v>
      </c>
      <c r="I731" s="2">
        <v>32039</v>
      </c>
      <c r="J731" s="2">
        <v>33876</v>
      </c>
      <c r="K731" s="2">
        <v>37494</v>
      </c>
      <c r="L731" s="2">
        <v>29201</v>
      </c>
      <c r="M731" s="2">
        <v>35550</v>
      </c>
      <c r="N731" s="2">
        <v>33622</v>
      </c>
      <c r="O731" s="2">
        <v>32689</v>
      </c>
      <c r="P731" s="2">
        <v>36208</v>
      </c>
      <c r="Q731" s="2">
        <v>35610</v>
      </c>
      <c r="R731" s="2">
        <v>46968</v>
      </c>
    </row>
    <row r="732" spans="1:18">
      <c r="A732" s="1" t="s">
        <v>2</v>
      </c>
      <c r="B732" s="2">
        <v>24.098428856437913</v>
      </c>
      <c r="C732" s="2">
        <v>23.094585976579996</v>
      </c>
      <c r="D732" s="2">
        <v>23.629003056627532</v>
      </c>
      <c r="E732" s="2">
        <v>22.521263741237686</v>
      </c>
      <c r="F732" s="2">
        <v>26.809278145431882</v>
      </c>
      <c r="G732" s="2">
        <v>19.941376197557091</v>
      </c>
      <c r="H732" s="2">
        <v>22.616390033997682</v>
      </c>
      <c r="I732" s="2">
        <v>22.194148897704277</v>
      </c>
      <c r="J732" s="2">
        <v>32.749390355217592</v>
      </c>
      <c r="K732" s="2">
        <v>25.6998028465466</v>
      </c>
      <c r="L732" s="2">
        <v>23.713524698702365</v>
      </c>
      <c r="M732" s="2">
        <v>27.931884822534936</v>
      </c>
      <c r="N732" s="2">
        <v>23.461885999358596</v>
      </c>
      <c r="O732" s="2">
        <v>24.071748561668237</v>
      </c>
      <c r="P732" s="2">
        <v>29.741082405060599</v>
      </c>
      <c r="Q732" s="2">
        <v>18.216129234498759</v>
      </c>
      <c r="R732" s="2">
        <v>16.543195242892985</v>
      </c>
    </row>
    <row r="733" spans="1:18">
      <c r="A733" s="1" t="s">
        <v>3</v>
      </c>
      <c r="B733" s="2">
        <v>68.871008391354124</v>
      </c>
      <c r="C733" s="2">
        <v>126.83459397134375</v>
      </c>
      <c r="D733" s="2">
        <v>52.676914143671283</v>
      </c>
      <c r="E733" s="2">
        <v>66.329884166236994</v>
      </c>
      <c r="F733" s="2">
        <v>48.604166942959829</v>
      </c>
      <c r="G733" s="2">
        <v>42.380363083041367</v>
      </c>
      <c r="H733" s="2">
        <v>36.572316631426602</v>
      </c>
      <c r="I733" s="2">
        <v>108.94144310831184</v>
      </c>
      <c r="J733" s="2">
        <v>17.401981063820305</v>
      </c>
      <c r="K733" s="2">
        <v>104.86909286433178</v>
      </c>
      <c r="L733" s="2">
        <v>48.491063900416613</v>
      </c>
      <c r="M733" s="2">
        <v>66.714411905433764</v>
      </c>
      <c r="N733" s="2">
        <v>36.676176986288276</v>
      </c>
      <c r="O733" s="2">
        <v>62.747817972177508</v>
      </c>
      <c r="P733" s="2">
        <v>70.871228869278653</v>
      </c>
      <c r="Q733" s="2">
        <v>49.063342458882779</v>
      </c>
      <c r="R733" s="2">
        <v>19.713941405401133</v>
      </c>
    </row>
    <row r="734" spans="1:18">
      <c r="A734" s="6" t="s">
        <v>27</v>
      </c>
      <c r="B734" s="2">
        <v>75.144146341463426</v>
      </c>
      <c r="C734" s="2">
        <v>75.523024390243918</v>
      </c>
      <c r="D734" s="2">
        <v>76.80926829268293</v>
      </c>
      <c r="E734" s="2">
        <v>74.771707317073179</v>
      </c>
      <c r="F734" s="2">
        <v>74.577073170731708</v>
      </c>
      <c r="G734" s="2">
        <v>76.100000000000009</v>
      </c>
      <c r="H734" s="2">
        <v>76.405609756097576</v>
      </c>
      <c r="I734" s="2">
        <v>74.286439024390262</v>
      </c>
      <c r="J734" s="2">
        <v>78.399268292682933</v>
      </c>
      <c r="K734" s="2">
        <v>76.890243902439025</v>
      </c>
      <c r="L734" s="2">
        <v>74.424390243902437</v>
      </c>
      <c r="M734" s="2">
        <v>76.220487804878061</v>
      </c>
      <c r="N734" s="2">
        <v>76.74707317073171</v>
      </c>
      <c r="O734" s="2">
        <v>76.979268292682931</v>
      </c>
      <c r="P734" s="2">
        <v>77.226585365853666</v>
      </c>
      <c r="Q734" s="2">
        <v>75.380487804878058</v>
      </c>
      <c r="R734" s="2">
        <v>74.765853658536599</v>
      </c>
    </row>
    <row r="735" spans="1:18">
      <c r="A735" s="6" t="s">
        <v>8</v>
      </c>
      <c r="B735" s="2">
        <v>98.949219999999997</v>
      </c>
      <c r="C735" s="2">
        <v>98.128290000000007</v>
      </c>
      <c r="D735" s="2">
        <v>98.890129999999999</v>
      </c>
      <c r="E735" s="2">
        <v>107.67178</v>
      </c>
      <c r="F735" s="2">
        <v>108.26155</v>
      </c>
      <c r="G735" s="2">
        <v>91.639840000000007</v>
      </c>
      <c r="H735" s="2">
        <v>76.083699999999993</v>
      </c>
      <c r="I735" s="2">
        <v>99.845920000000007</v>
      </c>
      <c r="J735" s="2">
        <v>95.343900000000005</v>
      </c>
      <c r="K735" s="2">
        <v>114.62599</v>
      </c>
      <c r="L735" s="2">
        <v>85.713750000000005</v>
      </c>
      <c r="M735" s="2">
        <v>95.067419999999998</v>
      </c>
      <c r="N735" s="2">
        <v>103.64081</v>
      </c>
      <c r="O735" s="2">
        <v>90.067779999999999</v>
      </c>
      <c r="P735" s="2">
        <v>94.325090000000003</v>
      </c>
      <c r="Q735" s="2">
        <v>82.939589999999995</v>
      </c>
      <c r="R735" s="2">
        <v>95.589316666666704</v>
      </c>
    </row>
    <row r="736" spans="1:18">
      <c r="A736" s="3" t="s">
        <v>4</v>
      </c>
      <c r="B736" s="2">
        <f t="shared" ref="B736:R736" si="316">(B730-1049.629)/(32410.14-1049.629)</f>
        <v>0.69625738710285112</v>
      </c>
      <c r="C736" s="2">
        <f t="shared" si="316"/>
        <v>0.7214053797515374</v>
      </c>
      <c r="D736" s="2">
        <f t="shared" si="316"/>
        <v>0.8299036252507298</v>
      </c>
      <c r="E736" s="2">
        <f t="shared" si="316"/>
        <v>0.76219585347311292</v>
      </c>
      <c r="F736" s="2">
        <f t="shared" si="316"/>
        <v>0.67088828769346753</v>
      </c>
      <c r="G736" s="2">
        <f t="shared" si="316"/>
        <v>0.69618791131425339</v>
      </c>
      <c r="H736" s="2">
        <f t="shared" si="316"/>
        <v>0.6853316969783112</v>
      </c>
      <c r="I736" s="2">
        <f t="shared" si="316"/>
        <v>0.66989511358378862</v>
      </c>
      <c r="J736" s="2">
        <f t="shared" si="316"/>
        <v>0.73252303369677407</v>
      </c>
      <c r="K736" s="2">
        <f t="shared" si="316"/>
        <v>0.74669432689009807</v>
      </c>
      <c r="L736" s="2">
        <f t="shared" si="316"/>
        <v>0.59226991786854366</v>
      </c>
      <c r="M736" s="2">
        <f t="shared" si="316"/>
        <v>0.97659786118000658</v>
      </c>
      <c r="N736" s="2">
        <f t="shared" si="316"/>
        <v>0.54821014743539209</v>
      </c>
      <c r="O736" s="2">
        <f t="shared" si="316"/>
        <v>0.73484621546459106</v>
      </c>
      <c r="P736" s="2">
        <f t="shared" si="316"/>
        <v>0.99999995220641624</v>
      </c>
      <c r="Q736" s="2">
        <f t="shared" si="316"/>
        <v>0.66402148827326712</v>
      </c>
      <c r="R736" s="2">
        <f t="shared" si="316"/>
        <v>0.98214792591094957</v>
      </c>
    </row>
    <row r="737" spans="1:18">
      <c r="A737" s="3" t="s">
        <v>5</v>
      </c>
      <c r="B737" s="2">
        <f>(B731-2538)/(46968-2538)</f>
        <v>0.7234301147873059</v>
      </c>
      <c r="C737" s="2">
        <f t="shared" ref="C737:R737" si="317">(C731-2538)/(46968-2538)</f>
        <v>0.90801260409633133</v>
      </c>
      <c r="D737" s="2">
        <f t="shared" si="317"/>
        <v>0.84195363493135267</v>
      </c>
      <c r="E737" s="2">
        <f t="shared" si="317"/>
        <v>0.73119513841998651</v>
      </c>
      <c r="F737" s="2">
        <f t="shared" si="317"/>
        <v>0.66824217870808011</v>
      </c>
      <c r="G737" s="2">
        <f t="shared" si="317"/>
        <v>0.8840873283817241</v>
      </c>
      <c r="H737" s="2">
        <f t="shared" si="317"/>
        <v>0.8396353814989872</v>
      </c>
      <c r="I737" s="2">
        <f t="shared" si="317"/>
        <v>0.66398829619626376</v>
      </c>
      <c r="J737" s="2">
        <f t="shared" si="317"/>
        <v>0.7053342336259284</v>
      </c>
      <c r="K737" s="2">
        <f t="shared" si="317"/>
        <v>0.78676569885212699</v>
      </c>
      <c r="L737" s="2">
        <f t="shared" si="317"/>
        <v>0.60011253657438668</v>
      </c>
      <c r="M737" s="2">
        <f t="shared" si="317"/>
        <v>0.74301147873058748</v>
      </c>
      <c r="N737" s="2">
        <f t="shared" si="317"/>
        <v>0.69961737564708526</v>
      </c>
      <c r="O737" s="2">
        <f t="shared" si="317"/>
        <v>0.6786180508665316</v>
      </c>
      <c r="P737" s="2">
        <f t="shared" si="317"/>
        <v>0.75782129191987391</v>
      </c>
      <c r="Q737" s="2">
        <f t="shared" si="317"/>
        <v>0.74436191762322756</v>
      </c>
      <c r="R737" s="2">
        <f t="shared" si="317"/>
        <v>1</v>
      </c>
    </row>
    <row r="738" spans="1:18">
      <c r="A738" s="3" t="s">
        <v>6</v>
      </c>
      <c r="B738" s="2">
        <f t="shared" ref="B738:R738" si="318">(B732-15.697)/(36.581-15.697)</f>
        <v>0.40229021530539705</v>
      </c>
      <c r="C738" s="2">
        <f t="shared" si="318"/>
        <v>0.35422265737310837</v>
      </c>
      <c r="D738" s="2">
        <f t="shared" si="318"/>
        <v>0.37981244285709304</v>
      </c>
      <c r="E738" s="2">
        <f t="shared" si="318"/>
        <v>0.32676995504873035</v>
      </c>
      <c r="F738" s="2">
        <f t="shared" si="318"/>
        <v>0.53209529522274857</v>
      </c>
      <c r="G738" s="2">
        <f t="shared" si="318"/>
        <v>0.20323578804621198</v>
      </c>
      <c r="H738" s="2">
        <f t="shared" si="318"/>
        <v>0.33132493937931823</v>
      </c>
      <c r="I738" s="2">
        <f t="shared" si="318"/>
        <v>0.31110653599426724</v>
      </c>
      <c r="J738" s="2">
        <f t="shared" si="318"/>
        <v>0.81652893867159504</v>
      </c>
      <c r="K738" s="2">
        <f t="shared" si="318"/>
        <v>0.47896968236672088</v>
      </c>
      <c r="L738" s="2">
        <f t="shared" si="318"/>
        <v>0.38385963889591862</v>
      </c>
      <c r="M738" s="2">
        <f t="shared" si="318"/>
        <v>0.58584968504764101</v>
      </c>
      <c r="N738" s="2">
        <f t="shared" si="318"/>
        <v>0.3718102853552287</v>
      </c>
      <c r="O738" s="2">
        <f t="shared" si="318"/>
        <v>0.40101266815113179</v>
      </c>
      <c r="P738" s="2">
        <f t="shared" si="318"/>
        <v>0.67248048290847529</v>
      </c>
      <c r="Q738" s="2">
        <f t="shared" si="318"/>
        <v>0.12062484363621716</v>
      </c>
      <c r="R738" s="2">
        <f t="shared" si="318"/>
        <v>4.0518829864632511E-2</v>
      </c>
    </row>
    <row r="739" spans="1:18">
      <c r="A739" s="3" t="s">
        <v>3</v>
      </c>
      <c r="B739" s="2">
        <f>(B733-17.402)/(126.835-17.402)</f>
        <v>0.47032438470437737</v>
      </c>
      <c r="C739" s="2">
        <f t="shared" ref="C739:R739" si="319">(C733-17.402)/(126.835-17.402)</f>
        <v>0.99999628970551624</v>
      </c>
      <c r="D739" s="2">
        <f t="shared" si="319"/>
        <v>0.32234256708370679</v>
      </c>
      <c r="E739" s="2">
        <f t="shared" si="319"/>
        <v>0.44710356260211265</v>
      </c>
      <c r="F739" s="2">
        <f t="shared" si="319"/>
        <v>0.28512575679145991</v>
      </c>
      <c r="G739" s="2">
        <f t="shared" si="319"/>
        <v>0.22825256625552956</v>
      </c>
      <c r="H739" s="2">
        <f t="shared" si="319"/>
        <v>0.17517857165047657</v>
      </c>
      <c r="I739" s="2">
        <f t="shared" si="319"/>
        <v>0.8364884733883915</v>
      </c>
      <c r="J739" s="2">
        <f t="shared" si="319"/>
        <v>-1.7303902567125829E-7</v>
      </c>
      <c r="K739" s="2">
        <f t="shared" si="319"/>
        <v>0.79927529049127577</v>
      </c>
      <c r="L739" s="2">
        <f t="shared" si="319"/>
        <v>0.28409221990091299</v>
      </c>
      <c r="M739" s="2">
        <f t="shared" si="319"/>
        <v>0.45061738146111108</v>
      </c>
      <c r="N739" s="2">
        <f t="shared" si="319"/>
        <v>0.17612764875575262</v>
      </c>
      <c r="O739" s="2">
        <f t="shared" si="319"/>
        <v>0.41437060093552686</v>
      </c>
      <c r="P739" s="2">
        <f t="shared" si="319"/>
        <v>0.48860242220608641</v>
      </c>
      <c r="Q739" s="2">
        <f t="shared" si="319"/>
        <v>0.28932170788411887</v>
      </c>
      <c r="R739" s="2">
        <f t="shared" si="319"/>
        <v>2.1126546886232968E-2</v>
      </c>
    </row>
    <row r="740" spans="1:18">
      <c r="A740" s="3" t="s">
        <v>7</v>
      </c>
      <c r="B740" s="2">
        <f>(B734-57.847)/(78.399-57.847)</f>
        <v>0.84162837395209344</v>
      </c>
      <c r="C740" s="2">
        <f t="shared" ref="C740:R740" si="320">(C734-57.847)/(78.399-57.847)</f>
        <v>0.86006346780089127</v>
      </c>
      <c r="D740" s="2">
        <f t="shared" si="320"/>
        <v>0.92264832097523009</v>
      </c>
      <c r="E740" s="2">
        <f t="shared" si="320"/>
        <v>0.82350658413162603</v>
      </c>
      <c r="F740" s="2">
        <f t="shared" si="320"/>
        <v>0.81403625782073308</v>
      </c>
      <c r="G740" s="2">
        <f t="shared" si="320"/>
        <v>0.88813740755157689</v>
      </c>
      <c r="H740" s="2">
        <f t="shared" si="320"/>
        <v>0.90300748132043474</v>
      </c>
      <c r="I740" s="2">
        <f t="shared" si="320"/>
        <v>0.79989485326928089</v>
      </c>
      <c r="J740" s="2">
        <f t="shared" si="320"/>
        <v>1.000013054334514</v>
      </c>
      <c r="K740" s="2">
        <f t="shared" si="320"/>
        <v>0.92658835648301985</v>
      </c>
      <c r="L740" s="2">
        <f t="shared" si="320"/>
        <v>0.80660715472471956</v>
      </c>
      <c r="M740" s="2">
        <f t="shared" si="320"/>
        <v>0.89399999050593915</v>
      </c>
      <c r="N740" s="2">
        <f t="shared" si="320"/>
        <v>0.91962208888340347</v>
      </c>
      <c r="O740" s="2">
        <f t="shared" si="320"/>
        <v>0.93092002202622282</v>
      </c>
      <c r="P740" s="2">
        <f t="shared" si="320"/>
        <v>0.94295374493254502</v>
      </c>
      <c r="Q740" s="2">
        <f t="shared" si="320"/>
        <v>0.85312805590103435</v>
      </c>
      <c r="R740" s="2">
        <f t="shared" si="320"/>
        <v>0.82322176228768973</v>
      </c>
    </row>
    <row r="741" spans="1:18">
      <c r="A741" s="4" t="s">
        <v>8</v>
      </c>
      <c r="B741" s="2">
        <f>(B735-28.043)/(114.626-28.042)</f>
        <v>0.81892982537189307</v>
      </c>
      <c r="C741" s="2">
        <f t="shared" ref="C741:R741" si="321">(C735-28.043)/(114.626-28.042)</f>
        <v>0.80944851242723848</v>
      </c>
      <c r="D741" s="2">
        <f t="shared" si="321"/>
        <v>0.81824736671902421</v>
      </c>
      <c r="E741" s="2">
        <f t="shared" si="321"/>
        <v>0.91967083987803755</v>
      </c>
      <c r="F741" s="2">
        <f t="shared" si="321"/>
        <v>0.92648237549662749</v>
      </c>
      <c r="G741" s="2">
        <f t="shared" si="321"/>
        <v>0.73451030213434354</v>
      </c>
      <c r="H741" s="2">
        <f t="shared" si="321"/>
        <v>0.5548450060057285</v>
      </c>
      <c r="I741" s="2">
        <f t="shared" si="321"/>
        <v>0.82928624226184977</v>
      </c>
      <c r="J741" s="2">
        <f t="shared" si="321"/>
        <v>0.77729026148018121</v>
      </c>
      <c r="K741" s="2">
        <f t="shared" si="321"/>
        <v>0.9999883350272567</v>
      </c>
      <c r="L741" s="2">
        <f t="shared" si="321"/>
        <v>0.66606705626905671</v>
      </c>
      <c r="M741" s="2">
        <f t="shared" si="321"/>
        <v>0.77409706181280591</v>
      </c>
      <c r="N741" s="2">
        <f t="shared" si="321"/>
        <v>0.87311524069112079</v>
      </c>
      <c r="O741" s="2">
        <f t="shared" si="321"/>
        <v>0.71635382980689266</v>
      </c>
      <c r="P741" s="2">
        <f t="shared" si="321"/>
        <v>0.76552353783608995</v>
      </c>
      <c r="Q741" s="2">
        <f t="shared" si="321"/>
        <v>0.63402695648156693</v>
      </c>
      <c r="R741" s="2">
        <f t="shared" si="321"/>
        <v>0.78012469586374744</v>
      </c>
    </row>
    <row r="742" spans="1:18">
      <c r="A742" s="4" t="s">
        <v>71</v>
      </c>
      <c r="B742" s="2">
        <f>(B736+B737+B738+B739+B740+B741)/6</f>
        <v>0.65881005020398631</v>
      </c>
      <c r="C742" s="2">
        <f t="shared" ref="C742:R742" si="322">(C736+C737+C738+C739+C740+C741)/6</f>
        <v>0.77552481852577049</v>
      </c>
      <c r="D742" s="2">
        <f t="shared" si="322"/>
        <v>0.68581799296952284</v>
      </c>
      <c r="E742" s="2">
        <f t="shared" si="322"/>
        <v>0.66840698892560102</v>
      </c>
      <c r="F742" s="2">
        <f t="shared" si="322"/>
        <v>0.64947835862218606</v>
      </c>
      <c r="G742" s="2">
        <f t="shared" si="322"/>
        <v>0.60573521728060664</v>
      </c>
      <c r="H742" s="2">
        <f t="shared" si="322"/>
        <v>0.58155384613887617</v>
      </c>
      <c r="I742" s="2">
        <f t="shared" si="322"/>
        <v>0.68510991911564023</v>
      </c>
      <c r="J742" s="2">
        <f t="shared" si="322"/>
        <v>0.6719482247949945</v>
      </c>
      <c r="K742" s="2">
        <f t="shared" si="322"/>
        <v>0.78971361501841619</v>
      </c>
      <c r="L742" s="2">
        <f t="shared" si="322"/>
        <v>0.55550142070558961</v>
      </c>
      <c r="M742" s="2">
        <f t="shared" si="322"/>
        <v>0.73736224312301513</v>
      </c>
      <c r="N742" s="2">
        <f t="shared" si="322"/>
        <v>0.59808379779466381</v>
      </c>
      <c r="O742" s="2">
        <f t="shared" si="322"/>
        <v>0.64602023120848284</v>
      </c>
      <c r="P742" s="2">
        <f t="shared" si="322"/>
        <v>0.7712302386682478</v>
      </c>
      <c r="Q742" s="2">
        <f t="shared" si="322"/>
        <v>0.5509141616332387</v>
      </c>
      <c r="R742" s="2">
        <f t="shared" si="322"/>
        <v>0.60785662680220864</v>
      </c>
    </row>
    <row r="744" spans="1:18">
      <c r="A744" s="1" t="s">
        <v>9</v>
      </c>
      <c r="B744" s="2" t="s">
        <v>10</v>
      </c>
      <c r="C744" s="2" t="s">
        <v>11</v>
      </c>
      <c r="D744" s="2" t="s">
        <v>12</v>
      </c>
      <c r="E744" s="2" t="s">
        <v>13</v>
      </c>
      <c r="F744" s="2" t="s">
        <v>14</v>
      </c>
      <c r="G744" s="2" t="s">
        <v>15</v>
      </c>
      <c r="H744" s="2" t="s">
        <v>16</v>
      </c>
      <c r="I744" s="2" t="s">
        <v>17</v>
      </c>
      <c r="J744" s="2" t="s">
        <v>18</v>
      </c>
      <c r="K744" s="2" t="s">
        <v>19</v>
      </c>
      <c r="L744" s="2" t="s">
        <v>20</v>
      </c>
      <c r="M744" s="2" t="s">
        <v>21</v>
      </c>
      <c r="N744" s="2" t="s">
        <v>22</v>
      </c>
      <c r="O744" s="2" t="s">
        <v>23</v>
      </c>
      <c r="P744" s="2" t="s">
        <v>24</v>
      </c>
      <c r="Q744" s="2" t="s">
        <v>25</v>
      </c>
      <c r="R744" s="2" t="s">
        <v>26</v>
      </c>
    </row>
    <row r="745" spans="1:18">
      <c r="A745" s="1"/>
      <c r="B745" s="2">
        <v>1987</v>
      </c>
      <c r="C745" s="2">
        <v>1987</v>
      </c>
      <c r="D745" s="2">
        <v>1987</v>
      </c>
      <c r="E745" s="2">
        <v>1987</v>
      </c>
      <c r="F745" s="2">
        <v>1987</v>
      </c>
      <c r="G745" s="2">
        <v>1987</v>
      </c>
      <c r="H745" s="2">
        <v>1987</v>
      </c>
      <c r="I745" s="2">
        <v>1987</v>
      </c>
      <c r="J745" s="2">
        <v>1987</v>
      </c>
      <c r="K745" s="2">
        <v>1987</v>
      </c>
      <c r="L745" s="2">
        <v>1987</v>
      </c>
      <c r="M745" s="2">
        <v>1987</v>
      </c>
      <c r="N745" s="2">
        <v>1987</v>
      </c>
      <c r="O745" s="2">
        <v>1987</v>
      </c>
      <c r="P745" s="2">
        <v>1987</v>
      </c>
      <c r="Q745" s="2">
        <v>1987</v>
      </c>
      <c r="R745" s="2">
        <v>1987</v>
      </c>
    </row>
    <row r="746" spans="1:18">
      <c r="A746" s="1" t="s">
        <v>0</v>
      </c>
      <c r="B746" s="3">
        <v>8854.0796352072757</v>
      </c>
      <c r="C746" s="3">
        <v>7498.4659572544433</v>
      </c>
      <c r="D746" s="3">
        <v>5920.7849166525439</v>
      </c>
      <c r="E746" s="3">
        <v>958.37008432165248</v>
      </c>
      <c r="F746" s="3">
        <v>5655.9890191417126</v>
      </c>
      <c r="G746" s="3">
        <v>5933.9718532926172</v>
      </c>
      <c r="H746" s="3">
        <v>1056.4750751134827</v>
      </c>
      <c r="I746" s="3">
        <v>1731.9352185998523</v>
      </c>
      <c r="J746" s="3">
        <v>5733.8553616877043</v>
      </c>
      <c r="K746" s="3">
        <v>9609.8171074856273</v>
      </c>
      <c r="L746" s="3">
        <v>6215.9196845074703</v>
      </c>
      <c r="M746" s="3">
        <v>2347.9988692735315</v>
      </c>
      <c r="N746" s="3">
        <v>2942.6171703157961</v>
      </c>
      <c r="O746" s="3">
        <v>4312.9564363924901</v>
      </c>
      <c r="P746" s="3">
        <v>7631.1076461572638</v>
      </c>
      <c r="Q746" s="3">
        <v>7232.8367598106825</v>
      </c>
      <c r="R746" s="3">
        <v>10043.752273281078</v>
      </c>
    </row>
    <row r="747" spans="1:18">
      <c r="A747" s="1" t="s">
        <v>1</v>
      </c>
      <c r="B747" s="2">
        <v>19682</v>
      </c>
      <c r="C747" s="2">
        <v>11904</v>
      </c>
      <c r="D747" s="2">
        <v>17113</v>
      </c>
      <c r="E747" s="2">
        <v>2431</v>
      </c>
      <c r="F747" s="2">
        <v>14639</v>
      </c>
      <c r="G747" s="2">
        <v>13829</v>
      </c>
      <c r="H747" s="2">
        <v>3040</v>
      </c>
      <c r="I747" s="2">
        <v>5104</v>
      </c>
      <c r="J747" s="2">
        <v>11514</v>
      </c>
      <c r="K747" s="2">
        <v>17194</v>
      </c>
      <c r="L747" s="2">
        <v>12001</v>
      </c>
      <c r="M747" s="2">
        <v>5888</v>
      </c>
      <c r="N747" s="2">
        <v>6549</v>
      </c>
      <c r="O747" s="2">
        <v>10857</v>
      </c>
      <c r="P747" s="2">
        <v>14794</v>
      </c>
      <c r="Q747" s="2">
        <v>18038</v>
      </c>
      <c r="R747" s="2">
        <v>27772</v>
      </c>
    </row>
    <row r="748" spans="1:18">
      <c r="A748" s="1" t="s">
        <v>2</v>
      </c>
      <c r="B748" s="2">
        <v>19.852307745057281</v>
      </c>
      <c r="C748" s="2">
        <v>31.06678886021778</v>
      </c>
      <c r="D748" s="2">
        <v>25.076616902838971</v>
      </c>
      <c r="E748" s="2">
        <v>37.110266556361523</v>
      </c>
      <c r="F748" s="2">
        <v>23.09965616748455</v>
      </c>
      <c r="G748" s="2">
        <v>15.481258768613964</v>
      </c>
      <c r="H748" s="2">
        <v>21.250065581785535</v>
      </c>
      <c r="I748" s="2">
        <v>31.730318877175552</v>
      </c>
      <c r="J748" s="2">
        <v>34.742330096440007</v>
      </c>
      <c r="K748" s="2">
        <v>25.372720511474434</v>
      </c>
      <c r="L748" s="2">
        <v>19.733587298754248</v>
      </c>
      <c r="M748" s="2">
        <v>17.919661845088495</v>
      </c>
      <c r="N748" s="2">
        <v>28.434747335253903</v>
      </c>
      <c r="O748" s="2">
        <v>22.494493049419436</v>
      </c>
      <c r="P748" s="2">
        <v>23.489900551244013</v>
      </c>
      <c r="Q748" s="2">
        <v>16.737870991583748</v>
      </c>
      <c r="R748" s="2">
        <v>23.250946736940335</v>
      </c>
    </row>
    <row r="749" spans="1:18">
      <c r="A749" s="1" t="s">
        <v>3</v>
      </c>
      <c r="B749" s="2">
        <v>15.44896988295196</v>
      </c>
      <c r="C749" s="2">
        <v>83.407655020746134</v>
      </c>
      <c r="D749" s="2">
        <v>57.348037964043321</v>
      </c>
      <c r="E749" s="2">
        <v>28.867983239511137</v>
      </c>
      <c r="F749" s="2">
        <v>29.871692265906109</v>
      </c>
      <c r="G749" s="2">
        <v>57.411686553364603</v>
      </c>
      <c r="H749" s="2">
        <v>12.367918667511182</v>
      </c>
      <c r="I749" s="2">
        <v>46.331705773927787</v>
      </c>
      <c r="J749" s="2">
        <v>111.91959524234572</v>
      </c>
      <c r="K749" s="2">
        <v>32.884249978776467</v>
      </c>
      <c r="L749" s="2">
        <v>23.686272759977577</v>
      </c>
      <c r="M749" s="2">
        <v>52.863507742060214</v>
      </c>
      <c r="N749" s="2">
        <v>57.227985462940488</v>
      </c>
      <c r="O749" s="2">
        <v>70.642041989720354</v>
      </c>
      <c r="P749" s="2">
        <v>33.338285027548821</v>
      </c>
      <c r="Q749" s="2">
        <v>40.854643721969488</v>
      </c>
      <c r="R749" s="2">
        <v>44.811086793663591</v>
      </c>
    </row>
    <row r="750" spans="1:18">
      <c r="A750" s="6" t="s">
        <v>27</v>
      </c>
      <c r="B750" s="5">
        <v>70.922390243902441</v>
      </c>
      <c r="C750" s="5">
        <v>71.526829268292687</v>
      </c>
      <c r="D750" s="5">
        <v>72.623487804878053</v>
      </c>
      <c r="E750" s="5">
        <v>68.797317073170746</v>
      </c>
      <c r="F750" s="5">
        <v>67.934048780487799</v>
      </c>
      <c r="G750" s="5">
        <v>75.117048780487821</v>
      </c>
      <c r="H750" s="5">
        <v>57.588439024390247</v>
      </c>
      <c r="I750" s="5">
        <v>60.865219512195132</v>
      </c>
      <c r="J750" s="5">
        <v>69.337585365853656</v>
      </c>
      <c r="K750" s="5">
        <v>69.598219512195129</v>
      </c>
      <c r="L750" s="5">
        <v>64.054439024390248</v>
      </c>
      <c r="M750" s="5">
        <v>64.603609756097583</v>
      </c>
      <c r="N750" s="5">
        <v>71.520414634146348</v>
      </c>
      <c r="O750" s="5">
        <v>66.867682926829275</v>
      </c>
      <c r="P750" s="5">
        <v>61.360170731707328</v>
      </c>
      <c r="Q750" s="5">
        <v>71.9460487804878</v>
      </c>
      <c r="R750" s="5">
        <v>70.348390243902443</v>
      </c>
    </row>
    <row r="751" spans="1:18">
      <c r="A751" s="6" t="s">
        <v>48</v>
      </c>
      <c r="B751" s="5">
        <v>69.993129999999994</v>
      </c>
      <c r="C751" s="5">
        <v>100.60500999999999</v>
      </c>
      <c r="D751" s="5">
        <v>78.749179999999996</v>
      </c>
      <c r="E751" s="5">
        <v>35.299880000000002</v>
      </c>
      <c r="F751" s="5">
        <v>52.003819999999997</v>
      </c>
      <c r="G751" s="5">
        <v>41.843539999999997</v>
      </c>
      <c r="H751" s="5">
        <v>36.656289999999998</v>
      </c>
      <c r="I751" s="5">
        <v>46.444299999999998</v>
      </c>
      <c r="J751" s="5">
        <v>58.649209999999997</v>
      </c>
      <c r="K751" s="5">
        <v>57.044840000000001</v>
      </c>
      <c r="L751" s="5">
        <v>64.827690000000004</v>
      </c>
      <c r="M751" s="5">
        <v>66.94023</v>
      </c>
      <c r="N751" s="5">
        <v>29.090499999999999</v>
      </c>
      <c r="O751" s="5">
        <v>38.903199999999998</v>
      </c>
      <c r="P751" s="5">
        <v>45.525019999999998</v>
      </c>
      <c r="Q751" s="5">
        <v>73.726439999999997</v>
      </c>
      <c r="R751" s="5">
        <v>57.559310000000004</v>
      </c>
    </row>
    <row r="752" spans="1:18">
      <c r="A752" s="3" t="s">
        <v>4</v>
      </c>
      <c r="B752" s="2">
        <f>(B746-958.3701)/(31902.23-958.3701)</f>
        <v>0.25516239928449508</v>
      </c>
      <c r="C752" s="2">
        <f t="shared" ref="C752:R752" si="323">(C746-958.3701)/(31902.23-958.3701)</f>
        <v>0.21135358931916712</v>
      </c>
      <c r="D752" s="2">
        <f t="shared" si="323"/>
        <v>0.16036831968246287</v>
      </c>
      <c r="E752" s="2">
        <f t="shared" si="323"/>
        <v>-5.0667071094581457E-10</v>
      </c>
      <c r="F752" s="2">
        <f t="shared" si="323"/>
        <v>0.15181101951478629</v>
      </c>
      <c r="G752" s="2">
        <f t="shared" si="323"/>
        <v>0.16079447649298004</v>
      </c>
      <c r="H752" s="2">
        <f t="shared" si="323"/>
        <v>3.1704181517924574E-3</v>
      </c>
      <c r="I752" s="2">
        <f t="shared" si="323"/>
        <v>2.4998985940983154E-2</v>
      </c>
      <c r="J752" s="2">
        <f t="shared" si="323"/>
        <v>0.15432739409758328</v>
      </c>
      <c r="K752" s="2">
        <f t="shared" si="323"/>
        <v>0.27958525650788729</v>
      </c>
      <c r="L752" s="2">
        <f t="shared" si="323"/>
        <v>0.16990606865136015</v>
      </c>
      <c r="M752" s="2">
        <f t="shared" si="323"/>
        <v>4.4908061688630235E-2</v>
      </c>
      <c r="N752" s="2">
        <f t="shared" si="323"/>
        <v>6.4124096887983775E-2</v>
      </c>
      <c r="O752" s="2">
        <f t="shared" si="323"/>
        <v>0.10840878763132229</v>
      </c>
      <c r="P752" s="2">
        <f t="shared" si="323"/>
        <v>0.21564011625315249</v>
      </c>
      <c r="Q752" s="2">
        <f t="shared" si="323"/>
        <v>0.20276935974011059</v>
      </c>
      <c r="R752" s="2">
        <f t="shared" si="323"/>
        <v>0.29360856087902198</v>
      </c>
    </row>
    <row r="753" spans="1:18">
      <c r="A753" s="3" t="s">
        <v>5</v>
      </c>
      <c r="B753" s="2">
        <f>(B747-2431)/(27772-2431)</f>
        <v>0.68075450850400532</v>
      </c>
      <c r="C753" s="2">
        <f t="shared" ref="C753:R753" si="324">(C747-2431)/(27772-2431)</f>
        <v>0.37382108046249163</v>
      </c>
      <c r="D753" s="2">
        <f t="shared" si="324"/>
        <v>0.57937729371374458</v>
      </c>
      <c r="E753" s="2">
        <f t="shared" si="324"/>
        <v>0</v>
      </c>
      <c r="F753" s="2">
        <f t="shared" si="324"/>
        <v>0.48174894439840577</v>
      </c>
      <c r="G753" s="2">
        <f t="shared" si="324"/>
        <v>0.44978493350696502</v>
      </c>
      <c r="H753" s="2">
        <f t="shared" si="324"/>
        <v>2.4032200781342487E-2</v>
      </c>
      <c r="I753" s="2">
        <f t="shared" si="324"/>
        <v>0.10548123594175447</v>
      </c>
      <c r="J753" s="2">
        <f t="shared" si="324"/>
        <v>0.35843100114439053</v>
      </c>
      <c r="K753" s="2">
        <f t="shared" si="324"/>
        <v>0.58257369480288856</v>
      </c>
      <c r="L753" s="2">
        <f t="shared" si="324"/>
        <v>0.37764886942109627</v>
      </c>
      <c r="M753" s="2">
        <f t="shared" si="324"/>
        <v>0.13641924154532181</v>
      </c>
      <c r="N753" s="2">
        <f t="shared" si="324"/>
        <v>0.16250345290241111</v>
      </c>
      <c r="O753" s="2">
        <f t="shared" si="324"/>
        <v>0.33250463675466635</v>
      </c>
      <c r="P753" s="2">
        <f t="shared" si="324"/>
        <v>0.48786551438380488</v>
      </c>
      <c r="Q753" s="2">
        <f t="shared" si="324"/>
        <v>0.61587940491693305</v>
      </c>
      <c r="R753" s="2">
        <f t="shared" si="324"/>
        <v>1</v>
      </c>
    </row>
    <row r="754" spans="1:18">
      <c r="A754" s="3" t="s">
        <v>6</v>
      </c>
      <c r="B754" s="2">
        <f>(B748-15.481)/(37.11-15.481)</f>
        <v>0.20210401521370761</v>
      </c>
      <c r="C754" s="2">
        <f t="shared" ref="C754:R754" si="325">(C748-15.481)/(37.11-15.481)</f>
        <v>0.7205968311164539</v>
      </c>
      <c r="D754" s="2">
        <f t="shared" si="325"/>
        <v>0.44364588759715995</v>
      </c>
      <c r="E754" s="2">
        <f t="shared" si="325"/>
        <v>1.0000123240261465</v>
      </c>
      <c r="F754" s="2">
        <f t="shared" si="325"/>
        <v>0.35224264494357349</v>
      </c>
      <c r="G754" s="2">
        <f t="shared" si="325"/>
        <v>1.1963965692548067E-5</v>
      </c>
      <c r="H754" s="2">
        <f t="shared" si="325"/>
        <v>0.26672826213812639</v>
      </c>
      <c r="I754" s="2">
        <f t="shared" si="325"/>
        <v>0.75127462560338232</v>
      </c>
      <c r="J754" s="2">
        <f t="shared" si="325"/>
        <v>0.89053262270285294</v>
      </c>
      <c r="K754" s="2">
        <f t="shared" si="325"/>
        <v>0.45733600774305028</v>
      </c>
      <c r="L754" s="2">
        <f t="shared" si="325"/>
        <v>0.19661506767553971</v>
      </c>
      <c r="M754" s="2">
        <f t="shared" si="325"/>
        <v>0.11274963452256208</v>
      </c>
      <c r="N754" s="2">
        <f t="shared" si="325"/>
        <v>0.59890643743371885</v>
      </c>
      <c r="O754" s="2">
        <f t="shared" si="325"/>
        <v>0.32426339865085935</v>
      </c>
      <c r="P754" s="2">
        <f t="shared" si="325"/>
        <v>0.37028529063960486</v>
      </c>
      <c r="Q754" s="2">
        <f t="shared" si="325"/>
        <v>5.8110453168604553E-2</v>
      </c>
      <c r="R754" s="2">
        <f t="shared" si="325"/>
        <v>0.35923744680476843</v>
      </c>
    </row>
    <row r="755" spans="1:18">
      <c r="A755" s="3" t="s">
        <v>3</v>
      </c>
      <c r="B755" s="2">
        <f>(B749-12.368)/(119.75-12.368)</f>
        <v>2.8691679079845409E-2</v>
      </c>
      <c r="C755" s="2">
        <f t="shared" ref="C755:R755" si="326">(C749-12.368)/(119.75-12.368)</f>
        <v>0.66156017787661003</v>
      </c>
      <c r="D755" s="2">
        <f t="shared" si="326"/>
        <v>0.41887875029374866</v>
      </c>
      <c r="E755" s="2">
        <f t="shared" si="326"/>
        <v>0.15365688140946468</v>
      </c>
      <c r="F755" s="2">
        <f t="shared" si="326"/>
        <v>0.16300396962159497</v>
      </c>
      <c r="G755" s="2">
        <f t="shared" si="326"/>
        <v>0.41947148081954705</v>
      </c>
      <c r="H755" s="2">
        <f t="shared" si="326"/>
        <v>-7.5741268386205518E-7</v>
      </c>
      <c r="I755" s="2">
        <f t="shared" si="326"/>
        <v>0.31628863099893634</v>
      </c>
      <c r="J755" s="2">
        <f t="shared" si="326"/>
        <v>0.92707898197412719</v>
      </c>
      <c r="K755" s="2">
        <f t="shared" si="326"/>
        <v>0.19105855710246097</v>
      </c>
      <c r="L755" s="2">
        <f t="shared" si="326"/>
        <v>0.1054019552623119</v>
      </c>
      <c r="M755" s="2">
        <f t="shared" si="326"/>
        <v>0.3771163485692221</v>
      </c>
      <c r="N755" s="2">
        <f t="shared" si="326"/>
        <v>0.41776075564750598</v>
      </c>
      <c r="O755" s="2">
        <f t="shared" si="326"/>
        <v>0.54267979726323168</v>
      </c>
      <c r="P755" s="2">
        <f t="shared" si="326"/>
        <v>0.19528678016379672</v>
      </c>
      <c r="Q755" s="2">
        <f t="shared" si="326"/>
        <v>0.26528322923739067</v>
      </c>
      <c r="R755" s="2">
        <f t="shared" si="326"/>
        <v>0.30212779417093727</v>
      </c>
    </row>
    <row r="756" spans="1:18">
      <c r="A756" s="3" t="s">
        <v>7</v>
      </c>
      <c r="B756" s="2">
        <f>(B750-57.588)/(78.484-57.588)</f>
        <v>0.63813123295857788</v>
      </c>
      <c r="C756" s="2">
        <f t="shared" ref="C756:R756" si="327">(C750-57.588)/(78.484-57.588)</f>
        <v>0.66705729653008661</v>
      </c>
      <c r="D756" s="2">
        <f t="shared" si="327"/>
        <v>0.71953904119822243</v>
      </c>
      <c r="E756" s="2">
        <f t="shared" si="327"/>
        <v>0.53643362716169352</v>
      </c>
      <c r="F756" s="2">
        <f t="shared" si="327"/>
        <v>0.49512101744294612</v>
      </c>
      <c r="G756" s="2">
        <f t="shared" si="327"/>
        <v>0.83887101744294723</v>
      </c>
      <c r="H756" s="2">
        <f t="shared" si="327"/>
        <v>2.1009972733841187E-5</v>
      </c>
      <c r="I756" s="2">
        <f t="shared" si="327"/>
        <v>0.15683477757442249</v>
      </c>
      <c r="J756" s="2">
        <f t="shared" si="327"/>
        <v>0.56228873305195526</v>
      </c>
      <c r="K756" s="2">
        <f t="shared" si="327"/>
        <v>0.5747616535315434</v>
      </c>
      <c r="L756" s="2">
        <f t="shared" si="327"/>
        <v>0.30945822283643998</v>
      </c>
      <c r="M756" s="2">
        <f t="shared" si="327"/>
        <v>0.33573936428491502</v>
      </c>
      <c r="N756" s="2">
        <f t="shared" si="327"/>
        <v>0.66675031748403291</v>
      </c>
      <c r="O756" s="2">
        <f t="shared" si="327"/>
        <v>0.4440889608934378</v>
      </c>
      <c r="P756" s="2">
        <f t="shared" si="327"/>
        <v>0.18052118739028178</v>
      </c>
      <c r="Q756" s="2">
        <f t="shared" si="327"/>
        <v>0.687119486049378</v>
      </c>
      <c r="R756" s="2">
        <f t="shared" si="327"/>
        <v>0.61066186082994101</v>
      </c>
    </row>
    <row r="757" spans="1:18">
      <c r="A757" s="4" t="s">
        <v>8</v>
      </c>
      <c r="B757" s="2">
        <f t="shared" ref="B757:R757" si="328">(B751-29.091)/(115.741-29.091)</f>
        <v>0.47203843046739746</v>
      </c>
      <c r="C757" s="2">
        <f t="shared" si="328"/>
        <v>0.82532036930178854</v>
      </c>
      <c r="D757" s="2">
        <f t="shared" si="328"/>
        <v>0.57308920946335828</v>
      </c>
      <c r="E757" s="2">
        <f t="shared" si="328"/>
        <v>7.1654702827466818E-2</v>
      </c>
      <c r="F757" s="2">
        <f t="shared" si="328"/>
        <v>0.26442954414310438</v>
      </c>
      <c r="G757" s="2">
        <f t="shared" si="328"/>
        <v>0.14717299480669355</v>
      </c>
      <c r="H757" s="2">
        <f t="shared" si="328"/>
        <v>8.7308597807270599E-2</v>
      </c>
      <c r="I757" s="2">
        <f t="shared" si="328"/>
        <v>0.20026889786497398</v>
      </c>
      <c r="J757" s="2">
        <f t="shared" si="328"/>
        <v>0.34112186959030577</v>
      </c>
      <c r="K757" s="2">
        <f t="shared" si="328"/>
        <v>0.32260634737449506</v>
      </c>
      <c r="L757" s="2">
        <f t="shared" si="328"/>
        <v>0.4124257357184074</v>
      </c>
      <c r="M757" s="2">
        <f t="shared" si="328"/>
        <v>0.43680588574725904</v>
      </c>
      <c r="N757" s="2">
        <f t="shared" si="328"/>
        <v>-5.7703404501141068E-6</v>
      </c>
      <c r="O757" s="2">
        <f t="shared" si="328"/>
        <v>0.11323946912867855</v>
      </c>
      <c r="P757" s="2">
        <f t="shared" si="328"/>
        <v>0.18965978072706285</v>
      </c>
      <c r="Q757" s="2">
        <f t="shared" si="328"/>
        <v>0.51512336987882279</v>
      </c>
      <c r="R757" s="2">
        <f t="shared" si="328"/>
        <v>0.32854368147720714</v>
      </c>
    </row>
    <row r="758" spans="1:18">
      <c r="A758" s="3" t="s">
        <v>72</v>
      </c>
      <c r="B758" s="2">
        <f t="shared" ref="B758:R758" si="329">(B752+B753+B754+B755+B756+B757)/6</f>
        <v>0.3794803775846714</v>
      </c>
      <c r="C758" s="2">
        <f t="shared" si="329"/>
        <v>0.57661822410109964</v>
      </c>
      <c r="D758" s="2">
        <f t="shared" si="329"/>
        <v>0.48248308365811615</v>
      </c>
      <c r="E758" s="2">
        <f t="shared" si="329"/>
        <v>0.29362625581968349</v>
      </c>
      <c r="F758" s="2">
        <f t="shared" si="329"/>
        <v>0.31805952334406851</v>
      </c>
      <c r="G758" s="2">
        <f t="shared" si="329"/>
        <v>0.33601781117247093</v>
      </c>
      <c r="H758" s="2">
        <f t="shared" si="329"/>
        <v>6.354328857309699E-2</v>
      </c>
      <c r="I758" s="2">
        <f t="shared" si="329"/>
        <v>0.25919119232074211</v>
      </c>
      <c r="J758" s="2">
        <f t="shared" si="329"/>
        <v>0.5389634337602025</v>
      </c>
      <c r="K758" s="2">
        <f t="shared" si="329"/>
        <v>0.40132025284372091</v>
      </c>
      <c r="L758" s="2">
        <f t="shared" si="329"/>
        <v>0.26190931992752592</v>
      </c>
      <c r="M758" s="2">
        <f t="shared" si="329"/>
        <v>0.24062308939298502</v>
      </c>
      <c r="N758" s="2">
        <f t="shared" si="329"/>
        <v>0.31833988166920041</v>
      </c>
      <c r="O758" s="2">
        <f t="shared" si="329"/>
        <v>0.31086417505369934</v>
      </c>
      <c r="P758" s="2">
        <f t="shared" si="329"/>
        <v>0.27320977825961723</v>
      </c>
      <c r="Q758" s="2">
        <f t="shared" si="329"/>
        <v>0.39071421716520655</v>
      </c>
      <c r="R758" s="2">
        <f t="shared" si="329"/>
        <v>0.48236322402697923</v>
      </c>
    </row>
    <row r="760" spans="1:18">
      <c r="A760" s="1" t="s">
        <v>9</v>
      </c>
      <c r="B760" s="2" t="s">
        <v>28</v>
      </c>
      <c r="C760" s="2" t="s">
        <v>29</v>
      </c>
      <c r="D760" s="2" t="s">
        <v>30</v>
      </c>
      <c r="E760" s="2" t="s">
        <v>31</v>
      </c>
      <c r="F760" s="2" t="s">
        <v>32</v>
      </c>
      <c r="G760" s="2" t="s">
        <v>33</v>
      </c>
      <c r="H760" s="2" t="s">
        <v>34</v>
      </c>
      <c r="I760" s="2" t="s">
        <v>35</v>
      </c>
      <c r="J760" s="2" t="s">
        <v>36</v>
      </c>
      <c r="K760" s="2" t="s">
        <v>37</v>
      </c>
      <c r="L760" s="2" t="s">
        <v>38</v>
      </c>
      <c r="M760" s="2" t="s">
        <v>39</v>
      </c>
      <c r="N760" s="2" t="s">
        <v>40</v>
      </c>
      <c r="O760" s="2" t="s">
        <v>41</v>
      </c>
      <c r="P760" s="2" t="s">
        <v>42</v>
      </c>
      <c r="Q760" s="2" t="s">
        <v>43</v>
      </c>
      <c r="R760" s="2" t="s">
        <v>44</v>
      </c>
    </row>
    <row r="761" spans="1:18">
      <c r="B761" s="2">
        <v>1987</v>
      </c>
      <c r="C761" s="2">
        <v>1987</v>
      </c>
      <c r="D761" s="2">
        <v>1987</v>
      </c>
      <c r="E761" s="2">
        <v>1987</v>
      </c>
      <c r="F761" s="2">
        <v>1987</v>
      </c>
      <c r="G761" s="2">
        <v>1987</v>
      </c>
      <c r="H761" s="2">
        <v>1987</v>
      </c>
      <c r="I761" s="2">
        <v>1987</v>
      </c>
      <c r="J761" s="2">
        <v>1987</v>
      </c>
      <c r="K761" s="2">
        <v>1987</v>
      </c>
      <c r="L761" s="2">
        <v>1987</v>
      </c>
      <c r="M761" s="2">
        <v>1987</v>
      </c>
      <c r="N761" s="2">
        <v>1987</v>
      </c>
      <c r="O761" s="2">
        <v>1987</v>
      </c>
      <c r="P761" s="2">
        <v>1987</v>
      </c>
      <c r="Q761" s="2">
        <v>1987</v>
      </c>
      <c r="R761" s="2">
        <v>1987</v>
      </c>
    </row>
    <row r="762" spans="1:18">
      <c r="A762" s="1" t="s">
        <v>0</v>
      </c>
      <c r="B762" s="3">
        <v>22018.392117309144</v>
      </c>
      <c r="C762" s="3">
        <v>22677.545793616693</v>
      </c>
      <c r="D762" s="3">
        <v>26127.936590861082</v>
      </c>
      <c r="E762" s="3">
        <v>25000.275068533476</v>
      </c>
      <c r="F762" s="3">
        <v>21054.04167482421</v>
      </c>
      <c r="G762" s="3">
        <v>21984.108518957622</v>
      </c>
      <c r="H762" s="3">
        <v>21645.003180482934</v>
      </c>
      <c r="I762" s="3">
        <v>20915.196745679958</v>
      </c>
      <c r="J762" s="3">
        <v>22515.516392102258</v>
      </c>
      <c r="K762" s="3">
        <v>23805.725422694686</v>
      </c>
      <c r="L762" s="3">
        <v>19324.334688928608</v>
      </c>
      <c r="M762" s="3">
        <v>31902.232900815008</v>
      </c>
      <c r="N762" s="3">
        <v>17395.735556381314</v>
      </c>
      <c r="O762" s="3">
        <v>23601.79680112096</v>
      </c>
      <c r="P762" s="3">
        <v>31613.063432203806</v>
      </c>
      <c r="Q762" s="3">
        <v>20872.008972335258</v>
      </c>
      <c r="R762" s="3">
        <v>30844.225067988307</v>
      </c>
    </row>
    <row r="763" spans="1:18">
      <c r="A763" s="1" t="s">
        <v>1</v>
      </c>
      <c r="B763" s="2">
        <v>33727</v>
      </c>
      <c r="C763" s="2">
        <v>41739</v>
      </c>
      <c r="D763" s="2">
        <v>39247</v>
      </c>
      <c r="E763" s="2">
        <v>34364</v>
      </c>
      <c r="F763" s="2">
        <v>31032</v>
      </c>
      <c r="G763" s="2">
        <v>40441</v>
      </c>
      <c r="H763" s="2">
        <v>38770</v>
      </c>
      <c r="I763" s="2">
        <v>30461</v>
      </c>
      <c r="J763" s="2">
        <v>32270</v>
      </c>
      <c r="K763" s="2">
        <v>36902</v>
      </c>
      <c r="L763" s="2">
        <v>28374</v>
      </c>
      <c r="M763" s="2">
        <v>35367</v>
      </c>
      <c r="N763" s="2">
        <v>32997</v>
      </c>
      <c r="O763" s="2">
        <v>32408</v>
      </c>
      <c r="P763" s="2">
        <v>36029</v>
      </c>
      <c r="Q763" s="2">
        <v>35183</v>
      </c>
      <c r="R763" s="2">
        <v>46049</v>
      </c>
    </row>
    <row r="764" spans="1:18">
      <c r="A764" s="1" t="s">
        <v>2</v>
      </c>
      <c r="B764" s="2">
        <v>23.01029479015375</v>
      </c>
      <c r="C764" s="2">
        <v>20.36772187528463</v>
      </c>
      <c r="D764" s="2">
        <v>23.268670308024525</v>
      </c>
      <c r="E764" s="2">
        <v>22.348172294252048</v>
      </c>
      <c r="F764" s="2">
        <v>25.329347613825842</v>
      </c>
      <c r="G764" s="2">
        <v>18.379408856639959</v>
      </c>
      <c r="H764" s="2">
        <v>22.542289767726096</v>
      </c>
      <c r="I764" s="2">
        <v>20.694674465882713</v>
      </c>
      <c r="J764" s="2">
        <v>31.394746637162697</v>
      </c>
      <c r="K764" s="2">
        <v>24.151797054354962</v>
      </c>
      <c r="L764" s="2">
        <v>23.443005143631044</v>
      </c>
      <c r="M764" s="2">
        <v>27.582935040706925</v>
      </c>
      <c r="N764" s="2">
        <v>22.562433874805176</v>
      </c>
      <c r="O764" s="2">
        <v>23.291180678929926</v>
      </c>
      <c r="P764" s="2">
        <v>28.681577448852281</v>
      </c>
      <c r="Q764" s="2">
        <v>18.277209475931087</v>
      </c>
      <c r="R764" s="2">
        <v>16.325097363212667</v>
      </c>
    </row>
    <row r="765" spans="1:18">
      <c r="A765" s="1" t="s">
        <v>3</v>
      </c>
      <c r="B765" s="2">
        <v>65.035018036588838</v>
      </c>
      <c r="C765" s="2">
        <v>119.75011112815668</v>
      </c>
      <c r="D765" s="2">
        <v>52.460779069288968</v>
      </c>
      <c r="E765" s="2">
        <v>63.845793539918681</v>
      </c>
      <c r="F765" s="2">
        <v>50.050322212374752</v>
      </c>
      <c r="G765" s="2">
        <v>41.239452106392299</v>
      </c>
      <c r="H765" s="2">
        <v>37.042833101552816</v>
      </c>
      <c r="I765" s="2">
        <v>104.30494643888726</v>
      </c>
      <c r="J765" s="2">
        <v>17.352196991872486</v>
      </c>
      <c r="K765" s="2">
        <v>100.34699756047296</v>
      </c>
      <c r="L765" s="2">
        <v>50.048350619237837</v>
      </c>
      <c r="M765" s="2">
        <v>67.000820399860643</v>
      </c>
      <c r="N765" s="2">
        <v>36.313558815852645</v>
      </c>
      <c r="O765" s="2">
        <v>63.220521648293847</v>
      </c>
      <c r="P765" s="2">
        <v>69.086585564730271</v>
      </c>
      <c r="Q765" s="2">
        <v>51.415440962056614</v>
      </c>
      <c r="R765" s="2">
        <v>18.568175530443295</v>
      </c>
    </row>
    <row r="766" spans="1:18">
      <c r="A766" s="6" t="s">
        <v>27</v>
      </c>
      <c r="B766" s="2">
        <v>74.669268292682929</v>
      </c>
      <c r="C766" s="2">
        <v>75.272560975609764</v>
      </c>
      <c r="D766" s="2">
        <v>76.739512195121961</v>
      </c>
      <c r="E766" s="2">
        <v>74.691219512195133</v>
      </c>
      <c r="F766" s="2">
        <v>74.591951219512197</v>
      </c>
      <c r="G766" s="2">
        <v>75.8</v>
      </c>
      <c r="H766" s="2">
        <v>76.225121951219521</v>
      </c>
      <c r="I766" s="2">
        <v>74.063317073170722</v>
      </c>
      <c r="J766" s="2">
        <v>78.483658536585381</v>
      </c>
      <c r="K766" s="2">
        <v>76.70512195121951</v>
      </c>
      <c r="L766" s="2">
        <v>74.178048780487813</v>
      </c>
      <c r="M766" s="2">
        <v>76.081707317073182</v>
      </c>
      <c r="N766" s="2">
        <v>76.728048780487825</v>
      </c>
      <c r="O766" s="2">
        <v>77.092195121951235</v>
      </c>
      <c r="P766" s="2">
        <v>77.197560975609761</v>
      </c>
      <c r="Q766" s="2">
        <v>75.280487804878049</v>
      </c>
      <c r="R766" s="2">
        <v>74.765853658536599</v>
      </c>
    </row>
    <row r="767" spans="1:18">
      <c r="A767" s="6" t="s">
        <v>8</v>
      </c>
      <c r="B767" s="2">
        <v>98.587909999999994</v>
      </c>
      <c r="C767" s="2">
        <v>97.239000000000004</v>
      </c>
      <c r="D767" s="2">
        <v>98.778850000000006</v>
      </c>
      <c r="E767" s="2">
        <v>106.80477999999999</v>
      </c>
      <c r="F767" s="2">
        <v>105.99720000000001</v>
      </c>
      <c r="G767" s="2">
        <v>90.702060000000003</v>
      </c>
      <c r="H767" s="2">
        <v>75.055909999999997</v>
      </c>
      <c r="I767" s="2">
        <v>99.579740000000001</v>
      </c>
      <c r="J767" s="2">
        <v>95.462519999999998</v>
      </c>
      <c r="K767" s="2">
        <v>115.7411</v>
      </c>
      <c r="L767" s="2">
        <v>84.197559999999996</v>
      </c>
      <c r="M767" s="2">
        <v>95.840280000000007</v>
      </c>
      <c r="N767" s="2">
        <v>101.00190000000001</v>
      </c>
      <c r="O767" s="2">
        <v>88.757800000000003</v>
      </c>
      <c r="P767" s="2">
        <v>94.094840000000005</v>
      </c>
      <c r="Q767" s="2">
        <v>83.482039999999998</v>
      </c>
      <c r="R767" s="2">
        <v>95.214510000000004</v>
      </c>
    </row>
    <row r="768" spans="1:18">
      <c r="A768" s="3" t="s">
        <v>4</v>
      </c>
      <c r="B768" s="2">
        <f t="shared" ref="B768:R768" si="330">(B762-958.3701)/(31902.23-958.3701)</f>
        <v>0.68058807418880363</v>
      </c>
      <c r="C768" s="2">
        <f t="shared" si="330"/>
        <v>0.70188967258143165</v>
      </c>
      <c r="D768" s="2">
        <f t="shared" si="330"/>
        <v>0.81339453359084923</v>
      </c>
      <c r="E768" s="2">
        <f t="shared" si="330"/>
        <v>0.77695235973238996</v>
      </c>
      <c r="F768" s="2">
        <f t="shared" si="330"/>
        <v>0.64942355736377311</v>
      </c>
      <c r="G768" s="2">
        <f t="shared" si="330"/>
        <v>0.679480145234164</v>
      </c>
      <c r="H768" s="2">
        <f t="shared" si="330"/>
        <v>0.66852141740995064</v>
      </c>
      <c r="I768" s="2">
        <f t="shared" si="330"/>
        <v>0.64493656286493073</v>
      </c>
      <c r="J768" s="2">
        <f t="shared" si="330"/>
        <v>0.6966534350196647</v>
      </c>
      <c r="K768" s="2">
        <f t="shared" si="330"/>
        <v>0.73834858988276009</v>
      </c>
      <c r="L768" s="2">
        <f t="shared" si="330"/>
        <v>0.593525327747771</v>
      </c>
      <c r="M768" s="2">
        <f t="shared" si="330"/>
        <v>1.0000000937444462</v>
      </c>
      <c r="N768" s="2">
        <f t="shared" si="330"/>
        <v>0.53119958238892218</v>
      </c>
      <c r="O768" s="2">
        <f t="shared" si="330"/>
        <v>0.73175831245024991</v>
      </c>
      <c r="P768" s="2">
        <f t="shared" si="330"/>
        <v>0.99065512289899571</v>
      </c>
      <c r="Q768" s="2">
        <f t="shared" si="330"/>
        <v>0.64354088134736087</v>
      </c>
      <c r="R768" s="2">
        <f t="shared" si="330"/>
        <v>0.96580888953637967</v>
      </c>
    </row>
    <row r="769" spans="1:18">
      <c r="A769" s="3" t="s">
        <v>5</v>
      </c>
      <c r="B769" s="2">
        <f>(B763-2431)/(46049-2431)</f>
        <v>0.7175019487367601</v>
      </c>
      <c r="C769" s="2">
        <f t="shared" ref="C769:R769" si="331">(C763-2431)/(46049-2431)</f>
        <v>0.90118758310789127</v>
      </c>
      <c r="D769" s="2">
        <f t="shared" si="331"/>
        <v>0.84405520656609656</v>
      </c>
      <c r="E769" s="2">
        <f t="shared" si="331"/>
        <v>0.73210601127974695</v>
      </c>
      <c r="F769" s="2">
        <f t="shared" si="331"/>
        <v>0.65571553028566187</v>
      </c>
      <c r="G769" s="2">
        <f t="shared" si="331"/>
        <v>0.87142922646613785</v>
      </c>
      <c r="H769" s="2">
        <f t="shared" si="331"/>
        <v>0.83311935439497453</v>
      </c>
      <c r="I769" s="2">
        <f t="shared" si="331"/>
        <v>0.64262460452106929</v>
      </c>
      <c r="J769" s="2">
        <f t="shared" si="331"/>
        <v>0.68409830803796601</v>
      </c>
      <c r="K769" s="2">
        <f t="shared" si="331"/>
        <v>0.79029299830345268</v>
      </c>
      <c r="L769" s="2">
        <f t="shared" si="331"/>
        <v>0.59477738548305747</v>
      </c>
      <c r="M769" s="2">
        <f t="shared" si="331"/>
        <v>0.75510110504837458</v>
      </c>
      <c r="N769" s="2">
        <f t="shared" si="331"/>
        <v>0.70076573891512683</v>
      </c>
      <c r="O769" s="2">
        <f t="shared" si="331"/>
        <v>0.68726213948369941</v>
      </c>
      <c r="P769" s="2">
        <f t="shared" si="331"/>
        <v>0.77027832546196529</v>
      </c>
      <c r="Q769" s="2">
        <f t="shared" si="331"/>
        <v>0.75088266312072993</v>
      </c>
      <c r="R769" s="2">
        <f t="shared" si="331"/>
        <v>1</v>
      </c>
    </row>
    <row r="770" spans="1:18">
      <c r="A770" s="3" t="s">
        <v>6</v>
      </c>
      <c r="B770" s="2">
        <f t="shared" ref="B770:R770" si="332">(B764-15.481)/(37.11-15.481)</f>
        <v>0.34811109113476124</v>
      </c>
      <c r="C770" s="2">
        <f t="shared" si="332"/>
        <v>0.22593378682715939</v>
      </c>
      <c r="D770" s="2">
        <f t="shared" si="332"/>
        <v>0.36005688233503752</v>
      </c>
      <c r="E770" s="2">
        <f t="shared" si="332"/>
        <v>0.31749837228961347</v>
      </c>
      <c r="F770" s="2">
        <f t="shared" si="332"/>
        <v>0.45533069553959238</v>
      </c>
      <c r="G770" s="2">
        <f t="shared" si="332"/>
        <v>0.13400568018123626</v>
      </c>
      <c r="H770" s="2">
        <f t="shared" si="332"/>
        <v>0.32647324276323902</v>
      </c>
      <c r="I770" s="2">
        <f t="shared" si="332"/>
        <v>0.24105018567121519</v>
      </c>
      <c r="J770" s="2">
        <f t="shared" si="332"/>
        <v>0.73575970396979518</v>
      </c>
      <c r="K770" s="2">
        <f t="shared" si="332"/>
        <v>0.40088756088376543</v>
      </c>
      <c r="L770" s="2">
        <f t="shared" si="332"/>
        <v>0.36811711792644342</v>
      </c>
      <c r="M770" s="2">
        <f t="shared" si="332"/>
        <v>0.55952355821845334</v>
      </c>
      <c r="N770" s="2">
        <f t="shared" si="332"/>
        <v>0.32740458989343829</v>
      </c>
      <c r="O770" s="2">
        <f t="shared" si="332"/>
        <v>0.3610976318336459</v>
      </c>
      <c r="P770" s="2">
        <f t="shared" si="332"/>
        <v>0.61031843584318657</v>
      </c>
      <c r="Q770" s="2">
        <f t="shared" si="332"/>
        <v>0.12928057126686798</v>
      </c>
      <c r="R770" s="2">
        <f t="shared" si="332"/>
        <v>3.902618536283077E-2</v>
      </c>
    </row>
    <row r="771" spans="1:18">
      <c r="A771" s="3" t="s">
        <v>3</v>
      </c>
      <c r="B771" s="2">
        <f t="shared" ref="B771:R771" si="333">(B765-12.368)/(119.75-12.368)</f>
        <v>0.49046411909434384</v>
      </c>
      <c r="C771" s="2">
        <f t="shared" si="333"/>
        <v>1.0000010348862629</v>
      </c>
      <c r="D771" s="2">
        <f t="shared" si="333"/>
        <v>0.37336591858308621</v>
      </c>
      <c r="E771" s="2">
        <f t="shared" si="333"/>
        <v>0.47938940921121487</v>
      </c>
      <c r="F771" s="2">
        <f t="shared" si="333"/>
        <v>0.35091842405966317</v>
      </c>
      <c r="G771" s="2">
        <f t="shared" si="333"/>
        <v>0.26886677568300366</v>
      </c>
      <c r="H771" s="2">
        <f t="shared" si="333"/>
        <v>0.22978556090921023</v>
      </c>
      <c r="I771" s="2">
        <f t="shared" si="333"/>
        <v>0.85616720156904558</v>
      </c>
      <c r="J771" s="2">
        <f t="shared" si="333"/>
        <v>4.6415572366620896E-2</v>
      </c>
      <c r="K771" s="2">
        <f t="shared" si="333"/>
        <v>0.8193086137385498</v>
      </c>
      <c r="L771" s="2">
        <f t="shared" si="333"/>
        <v>0.35090006350447778</v>
      </c>
      <c r="M771" s="2">
        <f t="shared" si="333"/>
        <v>0.5087707474237827</v>
      </c>
      <c r="N771" s="2">
        <f t="shared" si="333"/>
        <v>0.22299415931769423</v>
      </c>
      <c r="O771" s="2">
        <f t="shared" si="333"/>
        <v>0.47356653487822764</v>
      </c>
      <c r="P771" s="2">
        <f t="shared" si="333"/>
        <v>0.52819453506854286</v>
      </c>
      <c r="Q771" s="2">
        <f t="shared" si="333"/>
        <v>0.36363115756883474</v>
      </c>
      <c r="R771" s="2">
        <f t="shared" si="333"/>
        <v>5.7739430541834703E-2</v>
      </c>
    </row>
    <row r="772" spans="1:18">
      <c r="A772" s="3" t="s">
        <v>7</v>
      </c>
      <c r="B772" s="2">
        <f t="shared" ref="B772:R772" si="334">(B766-57.588)/(78.484-57.588)</f>
        <v>0.81744201247525528</v>
      </c>
      <c r="C772" s="2">
        <f t="shared" si="334"/>
        <v>0.846313216673515</v>
      </c>
      <c r="D772" s="2">
        <f t="shared" si="334"/>
        <v>0.91651570612183986</v>
      </c>
      <c r="E772" s="2">
        <f t="shared" si="334"/>
        <v>0.81849251111194188</v>
      </c>
      <c r="F772" s="2">
        <f t="shared" si="334"/>
        <v>0.81374192283270486</v>
      </c>
      <c r="G772" s="2">
        <f t="shared" si="334"/>
        <v>0.87155436447166934</v>
      </c>
      <c r="H772" s="2">
        <f t="shared" si="334"/>
        <v>0.89189902140215949</v>
      </c>
      <c r="I772" s="2">
        <f t="shared" si="334"/>
        <v>0.78844358121988545</v>
      </c>
      <c r="J772" s="2">
        <f t="shared" si="334"/>
        <v>0.999983658910097</v>
      </c>
      <c r="K772" s="2">
        <f t="shared" si="334"/>
        <v>0.91486992492436425</v>
      </c>
      <c r="L772" s="2">
        <f t="shared" si="334"/>
        <v>0.79393418742763289</v>
      </c>
      <c r="M772" s="2">
        <f t="shared" si="334"/>
        <v>0.88503576364247638</v>
      </c>
      <c r="N772" s="2">
        <f t="shared" si="334"/>
        <v>0.91596711238934869</v>
      </c>
      <c r="O772" s="2">
        <f t="shared" si="334"/>
        <v>0.93339371755126532</v>
      </c>
      <c r="P772" s="2">
        <f t="shared" si="334"/>
        <v>0.93843611100735869</v>
      </c>
      <c r="Q772" s="2">
        <f t="shared" si="334"/>
        <v>0.84669256340342902</v>
      </c>
      <c r="R772" s="2">
        <f t="shared" si="334"/>
        <v>0.82206420647667511</v>
      </c>
    </row>
    <row r="773" spans="1:18">
      <c r="A773" s="4" t="s">
        <v>8</v>
      </c>
      <c r="B773" s="2">
        <f>(B767-29.091)/(115.741-29.091)</f>
        <v>0.80204166185804937</v>
      </c>
      <c r="C773" s="2">
        <f t="shared" ref="C773:R773" si="335">(C767-29.091)/(115.741-29.091)</f>
        <v>0.786474321984997</v>
      </c>
      <c r="D773" s="2">
        <f t="shared" si="335"/>
        <v>0.80424523946912863</v>
      </c>
      <c r="E773" s="2">
        <f t="shared" si="335"/>
        <v>0.8968699365262548</v>
      </c>
      <c r="F773" s="2">
        <f t="shared" si="335"/>
        <v>0.88754991344489331</v>
      </c>
      <c r="G773" s="2">
        <f t="shared" si="335"/>
        <v>0.71103358338141953</v>
      </c>
      <c r="H773" s="2">
        <f t="shared" si="335"/>
        <v>0.53046635891517591</v>
      </c>
      <c r="I773" s="2">
        <f t="shared" si="335"/>
        <v>0.81348805539526836</v>
      </c>
      <c r="J773" s="2">
        <f t="shared" si="335"/>
        <v>0.76597253317945757</v>
      </c>
      <c r="K773" s="2">
        <f t="shared" si="335"/>
        <v>1.00000115406809</v>
      </c>
      <c r="L773" s="2">
        <f t="shared" si="335"/>
        <v>0.63596722446624343</v>
      </c>
      <c r="M773" s="2">
        <f t="shared" si="335"/>
        <v>0.77033214079630696</v>
      </c>
      <c r="N773" s="2">
        <f t="shared" si="335"/>
        <v>0.82990075014425846</v>
      </c>
      <c r="O773" s="2">
        <f t="shared" si="335"/>
        <v>0.68859549913444895</v>
      </c>
      <c r="P773" s="2">
        <f t="shared" si="335"/>
        <v>0.75018857472590872</v>
      </c>
      <c r="Q773" s="2">
        <f t="shared" si="335"/>
        <v>0.6277096364685516</v>
      </c>
      <c r="R773" s="2">
        <f t="shared" si="335"/>
        <v>0.76311032890940578</v>
      </c>
    </row>
    <row r="774" spans="1:18">
      <c r="A774" s="4" t="s">
        <v>72</v>
      </c>
      <c r="B774" s="2">
        <f>(B768+B769+B770+B771+B772+B773)/6</f>
        <v>0.64269148458132885</v>
      </c>
      <c r="C774" s="2">
        <f t="shared" ref="C774:R774" si="336">(C768+C769+C770+C771+C772+C773)/6</f>
        <v>0.7436332693435429</v>
      </c>
      <c r="D774" s="2">
        <f t="shared" si="336"/>
        <v>0.68527224777767304</v>
      </c>
      <c r="E774" s="2">
        <f t="shared" si="336"/>
        <v>0.67021810002519366</v>
      </c>
      <c r="F774" s="2">
        <f t="shared" si="336"/>
        <v>0.63544667392104814</v>
      </c>
      <c r="G774" s="2">
        <f t="shared" si="336"/>
        <v>0.58939496256960522</v>
      </c>
      <c r="H774" s="2">
        <f t="shared" si="336"/>
        <v>0.58004415929911834</v>
      </c>
      <c r="I774" s="2">
        <f t="shared" si="336"/>
        <v>0.66445169854023578</v>
      </c>
      <c r="J774" s="2">
        <f t="shared" si="336"/>
        <v>0.6548138685806002</v>
      </c>
      <c r="K774" s="2">
        <f t="shared" si="336"/>
        <v>0.77728480696683044</v>
      </c>
      <c r="L774" s="2">
        <f t="shared" si="336"/>
        <v>0.55620355109260433</v>
      </c>
      <c r="M774" s="2">
        <f t="shared" si="336"/>
        <v>0.74646056814563988</v>
      </c>
      <c r="N774" s="2">
        <f t="shared" si="336"/>
        <v>0.5880386555081315</v>
      </c>
      <c r="O774" s="2">
        <f t="shared" si="336"/>
        <v>0.64594563922192283</v>
      </c>
      <c r="P774" s="2">
        <f t="shared" si="336"/>
        <v>0.7646785175009928</v>
      </c>
      <c r="Q774" s="2">
        <f t="shared" si="336"/>
        <v>0.56028957886262909</v>
      </c>
      <c r="R774" s="2">
        <f t="shared" si="336"/>
        <v>0.60795817347118764</v>
      </c>
    </row>
    <row r="776" spans="1:18">
      <c r="A776" s="1" t="s">
        <v>9</v>
      </c>
      <c r="B776" s="2" t="s">
        <v>10</v>
      </c>
      <c r="C776" s="2" t="s">
        <v>11</v>
      </c>
      <c r="D776" s="2" t="s">
        <v>12</v>
      </c>
      <c r="E776" s="2" t="s">
        <v>13</v>
      </c>
      <c r="F776" s="2" t="s">
        <v>14</v>
      </c>
      <c r="G776" s="2" t="s">
        <v>15</v>
      </c>
      <c r="H776" s="2" t="s">
        <v>16</v>
      </c>
      <c r="I776" s="2" t="s">
        <v>17</v>
      </c>
      <c r="J776" s="2" t="s">
        <v>18</v>
      </c>
      <c r="K776" s="2" t="s">
        <v>19</v>
      </c>
      <c r="L776" s="2" t="s">
        <v>20</v>
      </c>
      <c r="M776" s="2" t="s">
        <v>21</v>
      </c>
      <c r="N776" s="2" t="s">
        <v>22</v>
      </c>
      <c r="O776" s="2" t="s">
        <v>23</v>
      </c>
      <c r="P776" s="2" t="s">
        <v>24</v>
      </c>
      <c r="Q776" s="2" t="s">
        <v>25</v>
      </c>
      <c r="R776" s="2" t="s">
        <v>26</v>
      </c>
    </row>
    <row r="777" spans="1:18">
      <c r="B777" s="2">
        <v>1986</v>
      </c>
      <c r="C777" s="2">
        <v>1986</v>
      </c>
      <c r="D777" s="2">
        <v>1986</v>
      </c>
      <c r="E777" s="2">
        <v>1986</v>
      </c>
      <c r="F777" s="2">
        <v>1986</v>
      </c>
      <c r="G777" s="2">
        <v>1986</v>
      </c>
      <c r="H777" s="2">
        <v>1986</v>
      </c>
      <c r="I777" s="2">
        <v>1986</v>
      </c>
      <c r="J777" s="2">
        <v>1986</v>
      </c>
      <c r="K777" s="2">
        <v>1986</v>
      </c>
      <c r="L777" s="2">
        <v>1986</v>
      </c>
      <c r="M777" s="2">
        <v>1986</v>
      </c>
      <c r="N777" s="2">
        <v>1986</v>
      </c>
      <c r="O777" s="2">
        <v>1986</v>
      </c>
      <c r="P777" s="2">
        <v>1986</v>
      </c>
      <c r="Q777" s="2">
        <v>1986</v>
      </c>
      <c r="R777" s="2">
        <v>1986</v>
      </c>
    </row>
    <row r="778" spans="1:18">
      <c r="A778" s="1" t="s">
        <v>0</v>
      </c>
      <c r="B778" s="3">
        <v>8731.6911192470252</v>
      </c>
      <c r="C778" s="3">
        <v>7080.7971697282364</v>
      </c>
      <c r="D778" s="3">
        <v>5648.9150709673331</v>
      </c>
      <c r="E778" s="3">
        <v>872.6365966536116</v>
      </c>
      <c r="F778" s="3">
        <v>5480.2581811976515</v>
      </c>
      <c r="G778" s="3">
        <v>5703.0464065788974</v>
      </c>
      <c r="H778" s="3">
        <v>1038.2945666461303</v>
      </c>
      <c r="I778" s="3">
        <v>1677.1774370973581</v>
      </c>
      <c r="J778" s="3">
        <v>5602.2467582385207</v>
      </c>
      <c r="K778" s="3">
        <v>9623.5164139047247</v>
      </c>
      <c r="L778" s="3">
        <v>5885.3825631716445</v>
      </c>
      <c r="M778" s="3">
        <v>2312.1608545005197</v>
      </c>
      <c r="N778" s="3">
        <v>2737.0327807205235</v>
      </c>
      <c r="O778" s="3">
        <v>4145.7246821176004</v>
      </c>
      <c r="P778" s="3">
        <v>7106.2594893512896</v>
      </c>
      <c r="Q778" s="3">
        <v>6739.3337413135368</v>
      </c>
      <c r="R778" s="3">
        <v>9959.5142928147907</v>
      </c>
    </row>
    <row r="779" spans="1:18">
      <c r="A779" s="1" t="s">
        <v>1</v>
      </c>
      <c r="B779" s="2">
        <v>19979</v>
      </c>
      <c r="C779" s="2">
        <v>11916</v>
      </c>
      <c r="D779" s="2">
        <v>16640</v>
      </c>
      <c r="E779" s="2">
        <v>2260</v>
      </c>
      <c r="F779" s="2">
        <v>14348</v>
      </c>
      <c r="G779" s="2">
        <v>13928</v>
      </c>
      <c r="H779" s="2">
        <v>2991</v>
      </c>
      <c r="I779" s="2">
        <v>5011</v>
      </c>
      <c r="J779" s="2">
        <v>11466</v>
      </c>
      <c r="K779" s="2">
        <v>17474</v>
      </c>
      <c r="L779" s="2">
        <v>11851</v>
      </c>
      <c r="M779" s="2">
        <v>5699</v>
      </c>
      <c r="N779" s="2">
        <v>6192</v>
      </c>
      <c r="O779" s="2">
        <v>10433</v>
      </c>
      <c r="P779" s="2">
        <v>13911</v>
      </c>
      <c r="Q779" s="2">
        <v>17853</v>
      </c>
      <c r="R779" s="2">
        <v>28539</v>
      </c>
    </row>
    <row r="780" spans="1:18">
      <c r="A780" s="1" t="s">
        <v>2</v>
      </c>
      <c r="B780" s="2">
        <v>19.299686501537444</v>
      </c>
      <c r="C780" s="2">
        <v>32.440053678806244</v>
      </c>
      <c r="D780" s="2">
        <v>21.943525534707003</v>
      </c>
      <c r="E780" s="2">
        <v>35.881977932071095</v>
      </c>
      <c r="F780" s="2">
        <v>24.854935680078068</v>
      </c>
      <c r="G780" s="2">
        <v>16.142443380644831</v>
      </c>
      <c r="H780" s="2">
        <v>21.667677423356228</v>
      </c>
      <c r="I780" s="2">
        <v>28.546803976808555</v>
      </c>
      <c r="J780" s="2">
        <v>29.362260666003053</v>
      </c>
      <c r="K780" s="2">
        <v>22.444853969259405</v>
      </c>
      <c r="L780" s="2">
        <v>19.998053121958005</v>
      </c>
      <c r="M780" s="2">
        <v>19.190917198100795</v>
      </c>
      <c r="N780" s="2">
        <v>27.905052460740453</v>
      </c>
      <c r="O780" s="2">
        <v>19.480755265068993</v>
      </c>
      <c r="P780" s="2">
        <v>16.058125857167191</v>
      </c>
      <c r="Q780" s="2">
        <v>17.1280991824637</v>
      </c>
      <c r="R780" s="2">
        <v>20.383555631415952</v>
      </c>
    </row>
    <row r="781" spans="1:18">
      <c r="A781" s="1" t="s">
        <v>3</v>
      </c>
      <c r="B781" s="2">
        <v>14.486032792139502</v>
      </c>
      <c r="C781" s="2">
        <v>83.503562722090066</v>
      </c>
      <c r="D781" s="2">
        <v>55.120087716194007</v>
      </c>
      <c r="E781" s="2">
        <v>22.480467844189405</v>
      </c>
      <c r="F781" s="2">
        <v>30.830635908659399</v>
      </c>
      <c r="G781" s="2">
        <v>53.980145259197101</v>
      </c>
      <c r="H781" s="2">
        <v>12.008676536419197</v>
      </c>
      <c r="I781" s="2">
        <v>39.973861831656961</v>
      </c>
      <c r="J781" s="2">
        <v>104.95338688765268</v>
      </c>
      <c r="K781" s="2">
        <v>30.774985465298165</v>
      </c>
      <c r="L781" s="2">
        <v>29.268530107078295</v>
      </c>
      <c r="M781" s="2">
        <v>48.702632836634713</v>
      </c>
      <c r="N781" s="2">
        <v>49.170855241847214</v>
      </c>
      <c r="O781" s="2">
        <v>67.485056700742973</v>
      </c>
      <c r="P781" s="2">
        <v>29.414510795191006</v>
      </c>
      <c r="Q781" s="2">
        <v>46.483738972574805</v>
      </c>
      <c r="R781" s="2">
        <v>40.061812684401744</v>
      </c>
    </row>
    <row r="782" spans="1:18">
      <c r="A782" s="6" t="s">
        <v>27</v>
      </c>
      <c r="B782" s="5">
        <v>70.753707317073179</v>
      </c>
      <c r="C782" s="5">
        <v>71.730731707317076</v>
      </c>
      <c r="D782" s="5">
        <v>72.278951219512209</v>
      </c>
      <c r="E782" s="5">
        <v>68.55948780487806</v>
      </c>
      <c r="F782" s="5">
        <v>67.779634146341465</v>
      </c>
      <c r="G782" s="5">
        <v>74.88578048780488</v>
      </c>
      <c r="H782" s="5">
        <v>57.317365853658544</v>
      </c>
      <c r="I782" s="5">
        <v>60.431195121951227</v>
      </c>
      <c r="J782" s="5">
        <v>69.082707317073172</v>
      </c>
      <c r="K782" s="5">
        <v>69.191707317073181</v>
      </c>
      <c r="L782" s="5">
        <v>63.521658536585377</v>
      </c>
      <c r="M782" s="5">
        <v>64.411219512195132</v>
      </c>
      <c r="N782" s="5">
        <v>70.87707317073172</v>
      </c>
      <c r="O782" s="5">
        <v>66.282219512195141</v>
      </c>
      <c r="P782" s="5">
        <v>60.755512195121959</v>
      </c>
      <c r="Q782" s="5">
        <v>71.749487804878058</v>
      </c>
      <c r="R782" s="5">
        <v>70.063317073170737</v>
      </c>
    </row>
    <row r="783" spans="1:18">
      <c r="A783" s="6" t="s">
        <v>48</v>
      </c>
      <c r="B783" s="5">
        <v>70.216149999999999</v>
      </c>
      <c r="C783" s="5">
        <v>99.688559999999995</v>
      </c>
      <c r="D783" s="5">
        <v>77.17004</v>
      </c>
      <c r="E783" s="5">
        <v>33.171149999999997</v>
      </c>
      <c r="F783" s="5">
        <v>51.119689999999999</v>
      </c>
      <c r="G783" s="5">
        <v>41.27814</v>
      </c>
      <c r="H783" s="5">
        <v>37.046430000000001</v>
      </c>
      <c r="I783" s="5">
        <v>41.042520000000003</v>
      </c>
      <c r="J783" s="5">
        <v>56.740989999999996</v>
      </c>
      <c r="K783" s="5">
        <v>57.280050000000003</v>
      </c>
      <c r="L783" s="5">
        <v>63.964570000000002</v>
      </c>
      <c r="M783" s="5">
        <v>64.192260000000005</v>
      </c>
      <c r="N783" s="5">
        <v>29.941089999999999</v>
      </c>
      <c r="O783" s="5">
        <v>39.240450000000003</v>
      </c>
      <c r="P783" s="5">
        <v>44.057969999999997</v>
      </c>
      <c r="Q783" s="5">
        <v>73.707440000000005</v>
      </c>
      <c r="R783" s="5">
        <v>57.649090000000001</v>
      </c>
    </row>
    <row r="784" spans="1:18">
      <c r="A784" s="3" t="s">
        <v>4</v>
      </c>
      <c r="B784" s="2">
        <f>(B778-872.6366)/(9959.51-872.6366)</f>
        <v>0.86487993980933253</v>
      </c>
      <c r="C784" s="2">
        <f t="shared" ref="C784:R784" si="337">(C778-872.6366)/(9959.51-872.6366)</f>
        <v>0.68320095333651687</v>
      </c>
      <c r="D784" s="2">
        <f t="shared" si="337"/>
        <v>0.52562396995289196</v>
      </c>
      <c r="E784" s="2">
        <f t="shared" si="337"/>
        <v>-3.6826621126254488E-10</v>
      </c>
      <c r="F784" s="2">
        <f t="shared" si="337"/>
        <v>0.50706347259087503</v>
      </c>
      <c r="G784" s="2">
        <f t="shared" si="337"/>
        <v>0.53158106137793193</v>
      </c>
      <c r="H784" s="2">
        <f t="shared" si="337"/>
        <v>1.8230469310393415E-2</v>
      </c>
      <c r="I784" s="2">
        <f t="shared" si="337"/>
        <v>8.8538796754597457E-2</v>
      </c>
      <c r="J784" s="2">
        <f t="shared" si="337"/>
        <v>0.52048817564009653</v>
      </c>
      <c r="K784" s="2">
        <f t="shared" si="337"/>
        <v>0.96302429105094878</v>
      </c>
      <c r="L784" s="2">
        <f t="shared" si="337"/>
        <v>0.55164694637119571</v>
      </c>
      <c r="M784" s="2">
        <f t="shared" si="337"/>
        <v>0.15841799386140007</v>
      </c>
      <c r="N784" s="2">
        <f t="shared" si="337"/>
        <v>0.20517466224636996</v>
      </c>
      <c r="O784" s="2">
        <f t="shared" si="337"/>
        <v>0.36019959099656879</v>
      </c>
      <c r="P784" s="2">
        <f t="shared" si="337"/>
        <v>0.68600305241969028</v>
      </c>
      <c r="Q784" s="2">
        <f t="shared" si="337"/>
        <v>0.64562329451112821</v>
      </c>
      <c r="R784" s="2">
        <f t="shared" si="337"/>
        <v>1.0000004724193461</v>
      </c>
    </row>
    <row r="785" spans="1:18">
      <c r="A785" s="3" t="s">
        <v>5</v>
      </c>
      <c r="B785" s="2">
        <f>(B779-2260)/(28539-2260)</f>
        <v>0.67426462194147418</v>
      </c>
      <c r="C785" s="2">
        <f t="shared" ref="C785:R785" si="338">(C779-2260)/(28539-2260)</f>
        <v>0.36744168347349593</v>
      </c>
      <c r="D785" s="2">
        <f t="shared" si="338"/>
        <v>0.54720499257962629</v>
      </c>
      <c r="E785" s="2">
        <f t="shared" si="338"/>
        <v>0</v>
      </c>
      <c r="F785" s="2">
        <f t="shared" si="338"/>
        <v>0.45998706191255373</v>
      </c>
      <c r="G785" s="2">
        <f t="shared" si="338"/>
        <v>0.44400471859659807</v>
      </c>
      <c r="H785" s="2">
        <f t="shared" si="338"/>
        <v>2.7816888009437192E-2</v>
      </c>
      <c r="I785" s="2">
        <f t="shared" si="338"/>
        <v>0.10468434871950988</v>
      </c>
      <c r="J785" s="2">
        <f t="shared" si="338"/>
        <v>0.35031774420640055</v>
      </c>
      <c r="K785" s="2">
        <f t="shared" si="338"/>
        <v>0.5789413600213098</v>
      </c>
      <c r="L785" s="2">
        <f t="shared" si="338"/>
        <v>0.36496822557935993</v>
      </c>
      <c r="M785" s="2">
        <f t="shared" si="338"/>
        <v>0.13086494919898017</v>
      </c>
      <c r="N785" s="2">
        <f t="shared" si="338"/>
        <v>0.14962517599604247</v>
      </c>
      <c r="O785" s="2">
        <f t="shared" si="338"/>
        <v>0.31100879028882378</v>
      </c>
      <c r="P785" s="2">
        <f t="shared" si="338"/>
        <v>0.44335781422428555</v>
      </c>
      <c r="Q785" s="2">
        <f t="shared" si="338"/>
        <v>0.5933635222040412</v>
      </c>
      <c r="R785" s="2">
        <f t="shared" si="338"/>
        <v>1</v>
      </c>
    </row>
    <row r="786" spans="1:18">
      <c r="A786" s="3" t="s">
        <v>6</v>
      </c>
      <c r="B786" s="2">
        <f>(B780-16.058)/(35.882-16.058)</f>
        <v>0.16352333038425365</v>
      </c>
      <c r="C786" s="2">
        <f t="shared" ref="C786:R786" si="339">(C780-16.058)/(35.882-16.058)</f>
        <v>0.82637478202210679</v>
      </c>
      <c r="D786" s="2">
        <f t="shared" si="339"/>
        <v>0.29688889904696347</v>
      </c>
      <c r="E786" s="2">
        <f t="shared" si="339"/>
        <v>0.99999888680746052</v>
      </c>
      <c r="F786" s="2">
        <f t="shared" si="339"/>
        <v>0.44375179984251761</v>
      </c>
      <c r="G786" s="2">
        <f t="shared" si="339"/>
        <v>4.2596539873300792E-3</v>
      </c>
      <c r="H786" s="2">
        <f t="shared" si="339"/>
        <v>0.28297404274395827</v>
      </c>
      <c r="I786" s="2">
        <f t="shared" si="339"/>
        <v>0.62998405855571815</v>
      </c>
      <c r="J786" s="2">
        <f t="shared" si="339"/>
        <v>0.67111887943921777</v>
      </c>
      <c r="K786" s="2">
        <f t="shared" si="339"/>
        <v>0.3221778636632065</v>
      </c>
      <c r="L786" s="2">
        <f t="shared" si="339"/>
        <v>0.19875167080094863</v>
      </c>
      <c r="M786" s="2">
        <f t="shared" si="339"/>
        <v>0.15803658182510066</v>
      </c>
      <c r="N786" s="2">
        <f t="shared" si="339"/>
        <v>0.59761160516245226</v>
      </c>
      <c r="O786" s="2">
        <f t="shared" si="339"/>
        <v>0.17265714613947705</v>
      </c>
      <c r="P786" s="2">
        <f t="shared" si="339"/>
        <v>6.3487271585531078E-6</v>
      </c>
      <c r="Q786" s="2">
        <f t="shared" si="339"/>
        <v>5.3979982973350493E-2</v>
      </c>
      <c r="R786" s="2">
        <f t="shared" si="339"/>
        <v>0.21819792329580068</v>
      </c>
    </row>
    <row r="787" spans="1:18">
      <c r="A787" s="3" t="s">
        <v>3</v>
      </c>
      <c r="B787" s="2">
        <f>(B781-12.009)/(104.953-12.009)</f>
        <v>2.6650809004771712E-2</v>
      </c>
      <c r="C787" s="2">
        <f t="shared" ref="C787:R787" si="340">(C781-12.009)/(122.373-12.009)</f>
        <v>0.64780691821690106</v>
      </c>
      <c r="D787" s="2">
        <f t="shared" si="340"/>
        <v>0.39062636109776744</v>
      </c>
      <c r="E787" s="2">
        <f t="shared" si="340"/>
        <v>9.488119173090323E-2</v>
      </c>
      <c r="F787" s="2">
        <f t="shared" si="340"/>
        <v>0.1705414438463575</v>
      </c>
      <c r="G787" s="2">
        <f t="shared" si="340"/>
        <v>0.38029742723349191</v>
      </c>
      <c r="H787" s="2">
        <f t="shared" si="340"/>
        <v>-2.9308794607282969E-6</v>
      </c>
      <c r="I787" s="2">
        <f t="shared" si="340"/>
        <v>0.25338753426531258</v>
      </c>
      <c r="J787" s="2">
        <f t="shared" si="340"/>
        <v>0.84216218049049218</v>
      </c>
      <c r="K787" s="2">
        <f t="shared" si="340"/>
        <v>0.17003719931588349</v>
      </c>
      <c r="L787" s="2">
        <f t="shared" si="340"/>
        <v>0.15638731929866889</v>
      </c>
      <c r="M787" s="2">
        <f t="shared" si="340"/>
        <v>0.33247827948094227</v>
      </c>
      <c r="N787" s="2">
        <f t="shared" si="340"/>
        <v>0.33672080788886966</v>
      </c>
      <c r="O787" s="2">
        <f t="shared" si="340"/>
        <v>0.50266442590648197</v>
      </c>
      <c r="P787" s="2">
        <f t="shared" si="340"/>
        <v>0.15771003946206194</v>
      </c>
      <c r="Q787" s="2">
        <f t="shared" si="340"/>
        <v>0.31237304712202169</v>
      </c>
      <c r="R787" s="2">
        <f t="shared" si="340"/>
        <v>0.25418445040413307</v>
      </c>
    </row>
    <row r="788" spans="1:18">
      <c r="A788" s="3" t="s">
        <v>7</v>
      </c>
      <c r="B788" s="2">
        <f>(B782-57.317)/(74.886-57.317)</f>
        <v>0.76479636388372596</v>
      </c>
      <c r="C788" s="2">
        <f t="shared" ref="C788:R788" si="341">(C782-57.317)/(74.886-57.317)</f>
        <v>0.82040706399436958</v>
      </c>
      <c r="D788" s="2">
        <f t="shared" si="341"/>
        <v>0.85161086114817075</v>
      </c>
      <c r="E788" s="2">
        <f t="shared" si="341"/>
        <v>0.63990482126917081</v>
      </c>
      <c r="F788" s="2">
        <f t="shared" si="341"/>
        <v>0.59551677080889454</v>
      </c>
      <c r="G788" s="2">
        <f t="shared" si="341"/>
        <v>0.99998750570919714</v>
      </c>
      <c r="H788" s="2">
        <f t="shared" si="341"/>
        <v>2.0823818005769146E-5</v>
      </c>
      <c r="I788" s="2">
        <f t="shared" si="341"/>
        <v>0.17725511537089347</v>
      </c>
      <c r="J788" s="2">
        <f t="shared" si="341"/>
        <v>0.66968565752593634</v>
      </c>
      <c r="K788" s="2">
        <f t="shared" si="341"/>
        <v>0.67588976703700743</v>
      </c>
      <c r="L788" s="2">
        <f t="shared" si="341"/>
        <v>0.35315945908050422</v>
      </c>
      <c r="M788" s="2">
        <f t="shared" si="341"/>
        <v>0.40379187843332764</v>
      </c>
      <c r="N788" s="2">
        <f t="shared" si="341"/>
        <v>0.77181815531514164</v>
      </c>
      <c r="O788" s="2">
        <f t="shared" si="341"/>
        <v>0.51028627196739385</v>
      </c>
      <c r="P788" s="2">
        <f t="shared" si="341"/>
        <v>0.19571473590539926</v>
      </c>
      <c r="Q788" s="2">
        <f t="shared" si="341"/>
        <v>0.82147463173077928</v>
      </c>
      <c r="R788" s="2">
        <f t="shared" si="341"/>
        <v>0.72550043105303319</v>
      </c>
    </row>
    <row r="789" spans="1:18">
      <c r="A789" s="4" t="s">
        <v>8</v>
      </c>
      <c r="B789" s="2">
        <f>(B783-29.941)/(98.689-29.941)</f>
        <v>0.58583740617908886</v>
      </c>
      <c r="C789" s="2">
        <f t="shared" ref="C789:R789" si="342">(C783-29.941)/(98.689-29.941)</f>
        <v>1.0145394775120731</v>
      </c>
      <c r="D789" s="2">
        <f t="shared" si="342"/>
        <v>0.68698783964624432</v>
      </c>
      <c r="E789" s="2">
        <f t="shared" si="342"/>
        <v>4.6985366847035533E-2</v>
      </c>
      <c r="F789" s="2">
        <f t="shared" si="342"/>
        <v>0.30806263454936872</v>
      </c>
      <c r="G789" s="2">
        <f t="shared" si="342"/>
        <v>0.16490865188805498</v>
      </c>
      <c r="H789" s="2">
        <f t="shared" si="342"/>
        <v>0.10335471577354982</v>
      </c>
      <c r="I789" s="2">
        <f t="shared" si="342"/>
        <v>0.16148135218479093</v>
      </c>
      <c r="J789" s="2">
        <f t="shared" si="342"/>
        <v>0.38982937685459945</v>
      </c>
      <c r="K789" s="2">
        <f t="shared" si="342"/>
        <v>0.39767047768662372</v>
      </c>
      <c r="L789" s="2">
        <f t="shared" si="342"/>
        <v>0.49490268807819882</v>
      </c>
      <c r="M789" s="2">
        <f t="shared" si="342"/>
        <v>0.49821463897131563</v>
      </c>
      <c r="N789" s="2">
        <f t="shared" si="342"/>
        <v>1.3091289928455452E-6</v>
      </c>
      <c r="O789" s="2">
        <f t="shared" si="342"/>
        <v>0.13526866236108695</v>
      </c>
      <c r="P789" s="2">
        <f t="shared" si="342"/>
        <v>0.2053437190900099</v>
      </c>
      <c r="Q789" s="2">
        <f t="shared" si="342"/>
        <v>0.63662128352824821</v>
      </c>
      <c r="R789" s="2">
        <f t="shared" si="342"/>
        <v>0.4030384883923897</v>
      </c>
    </row>
    <row r="790" spans="1:18">
      <c r="A790" s="3" t="s">
        <v>73</v>
      </c>
      <c r="B790" s="2">
        <f t="shared" ref="B790:R790" si="343">(B784+B785+B786+B787+B788+B789)/6</f>
        <v>0.51332541186710778</v>
      </c>
      <c r="C790" s="2">
        <f t="shared" si="343"/>
        <v>0.72662847975924383</v>
      </c>
      <c r="D790" s="2">
        <f t="shared" si="343"/>
        <v>0.54982382057861068</v>
      </c>
      <c r="E790" s="2">
        <f t="shared" si="343"/>
        <v>0.29696171104771729</v>
      </c>
      <c r="F790" s="2">
        <f t="shared" si="343"/>
        <v>0.41415386392509451</v>
      </c>
      <c r="G790" s="2">
        <f t="shared" si="343"/>
        <v>0.42083983646543405</v>
      </c>
      <c r="H790" s="2">
        <f t="shared" si="343"/>
        <v>7.2065668129313962E-2</v>
      </c>
      <c r="I790" s="2">
        <f t="shared" si="343"/>
        <v>0.23588853430847037</v>
      </c>
      <c r="J790" s="2">
        <f t="shared" si="343"/>
        <v>0.57393366902612375</v>
      </c>
      <c r="K790" s="2">
        <f t="shared" si="343"/>
        <v>0.51795682646249663</v>
      </c>
      <c r="L790" s="2">
        <f t="shared" si="343"/>
        <v>0.3533027182014794</v>
      </c>
      <c r="M790" s="2">
        <f t="shared" si="343"/>
        <v>0.28030072029517777</v>
      </c>
      <c r="N790" s="2">
        <f t="shared" si="343"/>
        <v>0.3434919526229781</v>
      </c>
      <c r="O790" s="2">
        <f t="shared" si="343"/>
        <v>0.33201414794330536</v>
      </c>
      <c r="P790" s="2">
        <f t="shared" si="343"/>
        <v>0.2813559516381009</v>
      </c>
      <c r="Q790" s="2">
        <f t="shared" si="343"/>
        <v>0.51057262701159478</v>
      </c>
      <c r="R790" s="2">
        <f t="shared" si="343"/>
        <v>0.60015362759411717</v>
      </c>
    </row>
    <row r="792" spans="1:18">
      <c r="A792" s="1" t="s">
        <v>9</v>
      </c>
      <c r="B792" s="2" t="s">
        <v>28</v>
      </c>
      <c r="C792" s="2" t="s">
        <v>29</v>
      </c>
      <c r="D792" s="2" t="s">
        <v>30</v>
      </c>
      <c r="E792" s="2" t="s">
        <v>31</v>
      </c>
      <c r="F792" s="2" t="s">
        <v>32</v>
      </c>
      <c r="G792" s="2" t="s">
        <v>33</v>
      </c>
      <c r="H792" s="2" t="s">
        <v>34</v>
      </c>
      <c r="I792" s="2" t="s">
        <v>35</v>
      </c>
      <c r="J792" s="2" t="s">
        <v>36</v>
      </c>
      <c r="K792" s="2" t="s">
        <v>37</v>
      </c>
      <c r="L792" s="2" t="s">
        <v>38</v>
      </c>
      <c r="M792" s="2" t="s">
        <v>39</v>
      </c>
      <c r="N792" s="2" t="s">
        <v>40</v>
      </c>
      <c r="O792" s="2" t="s">
        <v>41</v>
      </c>
      <c r="P792" s="2" t="s">
        <v>42</v>
      </c>
      <c r="Q792" s="2" t="s">
        <v>43</v>
      </c>
      <c r="R792" s="2" t="s">
        <v>44</v>
      </c>
    </row>
    <row r="793" spans="1:18">
      <c r="B793" s="2">
        <v>1986</v>
      </c>
      <c r="C793" s="2">
        <v>1986</v>
      </c>
      <c r="D793" s="2">
        <v>1986</v>
      </c>
      <c r="E793" s="2">
        <v>1986</v>
      </c>
      <c r="F793" s="2">
        <v>1986</v>
      </c>
      <c r="G793" s="2">
        <v>1986</v>
      </c>
      <c r="H793" s="2">
        <v>1986</v>
      </c>
      <c r="I793" s="2">
        <v>1986</v>
      </c>
      <c r="J793" s="2">
        <v>1986</v>
      </c>
      <c r="K793" s="2">
        <v>1986</v>
      </c>
      <c r="L793" s="2">
        <v>1986</v>
      </c>
      <c r="M793" s="2">
        <v>1986</v>
      </c>
      <c r="N793" s="2">
        <v>1986</v>
      </c>
      <c r="O793" s="2">
        <v>1986</v>
      </c>
      <c r="P793" s="2">
        <v>1986</v>
      </c>
      <c r="Q793" s="2">
        <v>1986</v>
      </c>
      <c r="R793" s="2">
        <v>1986</v>
      </c>
    </row>
    <row r="794" spans="1:18">
      <c r="A794" s="1" t="s">
        <v>0</v>
      </c>
      <c r="B794" s="3">
        <v>21782.608471973672</v>
      </c>
      <c r="C794" s="3">
        <v>22185.151247049256</v>
      </c>
      <c r="D794" s="3">
        <v>25392.915929321796</v>
      </c>
      <c r="E794" s="3">
        <v>24959.594508135717</v>
      </c>
      <c r="F794" s="3">
        <v>20401.820954741317</v>
      </c>
      <c r="G794" s="3">
        <v>21594.368800762299</v>
      </c>
      <c r="H794" s="3">
        <v>20977.614982639607</v>
      </c>
      <c r="I794" s="3">
        <v>20070.102212237121</v>
      </c>
      <c r="J794" s="3">
        <v>21733.825109228026</v>
      </c>
      <c r="K794" s="3">
        <v>23503.351279206876</v>
      </c>
      <c r="L794" s="3">
        <v>19585.705534219913</v>
      </c>
      <c r="M794" s="3">
        <v>31491.355454711131</v>
      </c>
      <c r="N794" s="3">
        <v>16522.205087679758</v>
      </c>
      <c r="O794" s="3">
        <v>22912.241938487408</v>
      </c>
      <c r="P794" s="3">
        <v>31315.750597476548</v>
      </c>
      <c r="Q794" s="3">
        <v>20003.846222149448</v>
      </c>
      <c r="R794" s="3">
        <v>30079.940121533939</v>
      </c>
    </row>
    <row r="795" spans="1:18">
      <c r="A795" s="1" t="s">
        <v>1</v>
      </c>
      <c r="B795" s="2">
        <v>33352</v>
      </c>
      <c r="C795" s="2">
        <v>41078</v>
      </c>
      <c r="D795" s="2">
        <v>38799</v>
      </c>
      <c r="E795" s="2">
        <v>34443</v>
      </c>
      <c r="F795" s="2">
        <v>29978</v>
      </c>
      <c r="G795" s="2">
        <v>39781</v>
      </c>
      <c r="H795" s="2">
        <v>37692</v>
      </c>
      <c r="I795" s="2">
        <v>29278</v>
      </c>
      <c r="J795" s="2">
        <v>31104</v>
      </c>
      <c r="K795" s="2">
        <v>37398</v>
      </c>
      <c r="L795" s="2">
        <v>28386</v>
      </c>
      <c r="M795" s="2">
        <v>35362</v>
      </c>
      <c r="N795" s="2">
        <v>32715</v>
      </c>
      <c r="O795" s="2">
        <v>31671</v>
      </c>
      <c r="P795" s="2">
        <v>36649</v>
      </c>
      <c r="Q795" s="2">
        <v>34112</v>
      </c>
      <c r="R795" s="2">
        <v>45619</v>
      </c>
    </row>
    <row r="796" spans="1:18">
      <c r="A796" s="1" t="s">
        <v>2</v>
      </c>
      <c r="B796" s="2">
        <v>22.731174568808264</v>
      </c>
      <c r="C796" s="2">
        <v>19.807998923772377</v>
      </c>
      <c r="D796" s="2">
        <v>22.068283317822377</v>
      </c>
      <c r="E796" s="2">
        <v>22.093697184962998</v>
      </c>
      <c r="F796" s="2">
        <v>25.452481349335066</v>
      </c>
      <c r="G796" s="2">
        <v>18.955457920771991</v>
      </c>
      <c r="H796" s="2">
        <v>23.036742526118044</v>
      </c>
      <c r="I796" s="2">
        <v>19.101529949379177</v>
      </c>
      <c r="J796" s="2">
        <v>31.776933593920511</v>
      </c>
      <c r="K796" s="2">
        <v>25.494414123493552</v>
      </c>
      <c r="L796" s="2">
        <v>23.939833376517754</v>
      </c>
      <c r="M796" s="2">
        <v>27.892841378053994</v>
      </c>
      <c r="N796" s="2">
        <v>23.063921192144161</v>
      </c>
      <c r="O796" s="2">
        <v>23.587167211525127</v>
      </c>
      <c r="P796" s="2">
        <v>28.583546686448745</v>
      </c>
      <c r="Q796" s="2">
        <v>17.680888297284589</v>
      </c>
      <c r="R796" s="2">
        <v>16.696045197740116</v>
      </c>
    </row>
    <row r="797" spans="1:18">
      <c r="A797" s="1" t="s">
        <v>3</v>
      </c>
      <c r="B797" s="2">
        <v>66.236273924561658</v>
      </c>
      <c r="C797" s="2">
        <v>122.37253293224113</v>
      </c>
      <c r="D797" s="2">
        <v>54.735133384451196</v>
      </c>
      <c r="E797" s="2">
        <v>67.366407024784507</v>
      </c>
      <c r="F797" s="2">
        <v>50.574116120661692</v>
      </c>
      <c r="G797" s="2">
        <v>41.802296929798224</v>
      </c>
      <c r="H797" s="2">
        <v>37.669082555561829</v>
      </c>
      <c r="I797" s="2">
        <v>100.55098105463584</v>
      </c>
      <c r="J797" s="2">
        <v>18.34718223355193</v>
      </c>
      <c r="K797" s="2">
        <v>101.86260339068262</v>
      </c>
      <c r="L797" s="2">
        <v>52.903418544077994</v>
      </c>
      <c r="M797" s="2">
        <v>71.921133944774141</v>
      </c>
      <c r="N797" s="2">
        <v>35.38866948417683</v>
      </c>
      <c r="O797" s="2">
        <v>62.82824937325482</v>
      </c>
      <c r="P797" s="2">
        <v>70.410941584688615</v>
      </c>
      <c r="Q797" s="2">
        <v>51.611850473726008</v>
      </c>
      <c r="R797" s="2">
        <v>17.473446327683618</v>
      </c>
    </row>
    <row r="798" spans="1:18">
      <c r="A798" s="6" t="s">
        <v>27</v>
      </c>
      <c r="B798" s="2">
        <v>74.222926829268289</v>
      </c>
      <c r="C798" s="2">
        <v>74.985609756097574</v>
      </c>
      <c r="D798" s="2">
        <v>76.440000000000012</v>
      </c>
      <c r="E798" s="2">
        <v>74.579756097560974</v>
      </c>
      <c r="F798" s="2">
        <v>74.560000000000016</v>
      </c>
      <c r="G798" s="2">
        <v>75.600000000000009</v>
      </c>
      <c r="H798" s="2">
        <v>75.810731707317089</v>
      </c>
      <c r="I798" s="2">
        <v>73.848804878048782</v>
      </c>
      <c r="J798" s="2">
        <v>78.064634146341476</v>
      </c>
      <c r="K798" s="2">
        <v>76.270487804878059</v>
      </c>
      <c r="L798" s="2">
        <v>74.121951219512198</v>
      </c>
      <c r="M798" s="2">
        <v>76.241219512195144</v>
      </c>
      <c r="N798" s="2">
        <v>76.510487804878053</v>
      </c>
      <c r="O798" s="2">
        <v>76.931219512195128</v>
      </c>
      <c r="P798" s="2">
        <v>76.899024390243909</v>
      </c>
      <c r="Q798" s="2">
        <v>74.929268292682949</v>
      </c>
      <c r="R798" s="2">
        <v>74.614634146341473</v>
      </c>
    </row>
    <row r="799" spans="1:18">
      <c r="A799" s="6" t="s">
        <v>47</v>
      </c>
      <c r="B799" s="2">
        <v>97.985780000000005</v>
      </c>
      <c r="C799" s="2">
        <v>96.888630000000006</v>
      </c>
      <c r="D799" s="2">
        <v>99.044030000000006</v>
      </c>
      <c r="E799" s="2">
        <v>105.40761000000001</v>
      </c>
      <c r="F799" s="2">
        <v>105.72772000000001</v>
      </c>
      <c r="G799" s="2">
        <v>89.574100000000001</v>
      </c>
      <c r="H799" s="2">
        <v>74.013419999999996</v>
      </c>
      <c r="I799" s="2">
        <v>98.110619999999997</v>
      </c>
      <c r="J799" s="2">
        <v>95.793369999999996</v>
      </c>
      <c r="K799" s="2">
        <v>115.14469</v>
      </c>
      <c r="L799" s="2">
        <v>83.784689999999998</v>
      </c>
      <c r="M799" s="2">
        <v>97.29083</v>
      </c>
      <c r="N799" s="2">
        <v>98.382210000000001</v>
      </c>
      <c r="O799" s="2">
        <v>89.657920000000004</v>
      </c>
      <c r="P799" s="2">
        <v>94.354349999999997</v>
      </c>
      <c r="Q799" s="2">
        <v>83.976339999999993</v>
      </c>
      <c r="R799" s="2">
        <v>95.334370000000007</v>
      </c>
    </row>
    <row r="800" spans="1:18">
      <c r="A800" s="3" t="s">
        <v>4</v>
      </c>
      <c r="B800" s="2">
        <f t="shared" ref="B800:R800" si="344">(B794-872.6366)/(31491.36-872.6366)</f>
        <v>0.68291455521537747</v>
      </c>
      <c r="C800" s="2">
        <f t="shared" si="344"/>
        <v>0.69606150356514396</v>
      </c>
      <c r="D800" s="2">
        <f t="shared" si="344"/>
        <v>0.8008263116979526</v>
      </c>
      <c r="E800" s="2">
        <f t="shared" si="344"/>
        <v>0.78667414031166683</v>
      </c>
      <c r="F800" s="2">
        <f t="shared" si="344"/>
        <v>0.63781837340551295</v>
      </c>
      <c r="G800" s="2">
        <f t="shared" si="344"/>
        <v>0.67676669370096265</v>
      </c>
      <c r="H800" s="2">
        <f t="shared" si="344"/>
        <v>0.65662366519956239</v>
      </c>
      <c r="I800" s="2">
        <f t="shared" si="344"/>
        <v>0.62698452059686849</v>
      </c>
      <c r="J800" s="2">
        <f t="shared" si="344"/>
        <v>0.68132130254744794</v>
      </c>
      <c r="K800" s="2">
        <f t="shared" si="344"/>
        <v>0.73911359345592031</v>
      </c>
      <c r="L800" s="2">
        <f t="shared" si="344"/>
        <v>0.61116424384368395</v>
      </c>
      <c r="M800" s="2">
        <f t="shared" si="344"/>
        <v>0.99999985155197979</v>
      </c>
      <c r="N800" s="2">
        <f t="shared" si="344"/>
        <v>0.51111107028321634</v>
      </c>
      <c r="O800" s="2">
        <f t="shared" si="344"/>
        <v>0.71980810729971212</v>
      </c>
      <c r="P800" s="2">
        <f t="shared" si="344"/>
        <v>0.99426463996459591</v>
      </c>
      <c r="Q800" s="2">
        <f t="shared" si="344"/>
        <v>0.62482061620339946</v>
      </c>
      <c r="R800" s="2">
        <f t="shared" si="344"/>
        <v>0.95390337278182991</v>
      </c>
    </row>
    <row r="801" spans="1:18">
      <c r="A801" s="3" t="s">
        <v>5</v>
      </c>
      <c r="B801" s="2">
        <f>(B795-2260)/(45619-2260)</f>
        <v>0.71708295855531723</v>
      </c>
      <c r="C801" s="2">
        <f t="shared" ref="C801:R801" si="345">(C795-2260)/(45619-2260)</f>
        <v>0.895269724855278</v>
      </c>
      <c r="D801" s="2">
        <f t="shared" si="345"/>
        <v>0.84270854955141949</v>
      </c>
      <c r="E801" s="2">
        <f t="shared" si="345"/>
        <v>0.74224497797458433</v>
      </c>
      <c r="F801" s="2">
        <f t="shared" si="345"/>
        <v>0.63926751078207522</v>
      </c>
      <c r="G801" s="2">
        <f t="shared" si="345"/>
        <v>0.86535667335501276</v>
      </c>
      <c r="H801" s="2">
        <f t="shared" si="345"/>
        <v>0.81717751793168658</v>
      </c>
      <c r="I801" s="2">
        <f t="shared" si="345"/>
        <v>0.62312322701169309</v>
      </c>
      <c r="J801" s="2">
        <f t="shared" si="345"/>
        <v>0.66523674438986136</v>
      </c>
      <c r="K801" s="2">
        <f t="shared" si="345"/>
        <v>0.81039691874812614</v>
      </c>
      <c r="L801" s="2">
        <f t="shared" si="345"/>
        <v>0.60255079683572033</v>
      </c>
      <c r="M801" s="2">
        <f t="shared" si="345"/>
        <v>0.76344011623884311</v>
      </c>
      <c r="N801" s="2">
        <f t="shared" si="345"/>
        <v>0.70239166032426947</v>
      </c>
      <c r="O801" s="2">
        <f t="shared" si="345"/>
        <v>0.67831361424387093</v>
      </c>
      <c r="P801" s="2">
        <f t="shared" si="345"/>
        <v>0.79312253511381725</v>
      </c>
      <c r="Q801" s="2">
        <f t="shared" si="345"/>
        <v>0.73461103807744643</v>
      </c>
      <c r="R801" s="2">
        <f t="shared" si="345"/>
        <v>1</v>
      </c>
    </row>
    <row r="802" spans="1:18">
      <c r="A802" s="3" t="s">
        <v>6</v>
      </c>
      <c r="B802" s="2">
        <f t="shared" ref="B802:R802" si="346">(B796-16.058)/(35.882-16.058)</f>
        <v>0.33662099318040078</v>
      </c>
      <c r="C802" s="2">
        <f t="shared" si="346"/>
        <v>0.18916459462128621</v>
      </c>
      <c r="D802" s="2">
        <f t="shared" si="346"/>
        <v>0.30318216897812644</v>
      </c>
      <c r="E802" s="2">
        <f t="shared" si="346"/>
        <v>0.30446414371282282</v>
      </c>
      <c r="F802" s="2">
        <f t="shared" si="346"/>
        <v>0.47389433763796751</v>
      </c>
      <c r="G802" s="2">
        <f t="shared" si="346"/>
        <v>0.14615909608414002</v>
      </c>
      <c r="H802" s="2">
        <f t="shared" si="346"/>
        <v>0.35203503461047442</v>
      </c>
      <c r="I802" s="2">
        <f t="shared" si="346"/>
        <v>0.15352753981936934</v>
      </c>
      <c r="J802" s="2">
        <f t="shared" si="346"/>
        <v>0.79292441454401297</v>
      </c>
      <c r="K802" s="2">
        <f t="shared" si="346"/>
        <v>0.47600959057170872</v>
      </c>
      <c r="L802" s="2">
        <f t="shared" si="346"/>
        <v>0.39759046491715877</v>
      </c>
      <c r="M802" s="2">
        <f t="shared" si="346"/>
        <v>0.59699563045066562</v>
      </c>
      <c r="N802" s="2">
        <f t="shared" si="346"/>
        <v>0.35340603269492338</v>
      </c>
      <c r="O802" s="2">
        <f t="shared" si="346"/>
        <v>0.37980060590824899</v>
      </c>
      <c r="P802" s="2">
        <f t="shared" si="346"/>
        <v>0.63183750436081243</v>
      </c>
      <c r="Q802" s="2">
        <f t="shared" si="346"/>
        <v>8.1864825327108037E-2</v>
      </c>
      <c r="R802" s="2">
        <f t="shared" si="346"/>
        <v>3.2185492218528851E-2</v>
      </c>
    </row>
    <row r="803" spans="1:18">
      <c r="A803" s="3" t="s">
        <v>3</v>
      </c>
      <c r="B803" s="2">
        <f t="shared" ref="B803:R803" si="347">(B797-12.009)/(122.373-12.009)</f>
        <v>0.49134929800081234</v>
      </c>
      <c r="C803" s="2">
        <f t="shared" si="347"/>
        <v>0.99999576793375666</v>
      </c>
      <c r="D803" s="2">
        <f t="shared" si="347"/>
        <v>0.38713831851374719</v>
      </c>
      <c r="E803" s="2">
        <f t="shared" si="347"/>
        <v>0.5015893500125449</v>
      </c>
      <c r="F803" s="2">
        <f t="shared" si="347"/>
        <v>0.34943565039923968</v>
      </c>
      <c r="G803" s="2">
        <f t="shared" si="347"/>
        <v>0.26995484877132236</v>
      </c>
      <c r="H803" s="2">
        <f t="shared" si="347"/>
        <v>0.23250410057230461</v>
      </c>
      <c r="I803" s="2">
        <f t="shared" si="347"/>
        <v>0.80227230849403641</v>
      </c>
      <c r="J803" s="2">
        <f t="shared" si="347"/>
        <v>5.742979806415071E-2</v>
      </c>
      <c r="K803" s="2">
        <f t="shared" si="347"/>
        <v>0.81415682098041586</v>
      </c>
      <c r="L803" s="2">
        <f t="shared" si="347"/>
        <v>0.37054128650717616</v>
      </c>
      <c r="M803" s="2">
        <f t="shared" si="347"/>
        <v>0.542859392055146</v>
      </c>
      <c r="N803" s="2">
        <f t="shared" si="347"/>
        <v>0.21184144724889301</v>
      </c>
      <c r="O803" s="2">
        <f t="shared" si="347"/>
        <v>0.46046944087976893</v>
      </c>
      <c r="P803" s="2">
        <f t="shared" si="347"/>
        <v>0.52917565134181987</v>
      </c>
      <c r="Q803" s="2">
        <f t="shared" si="347"/>
        <v>0.35883848423150672</v>
      </c>
      <c r="R803" s="2">
        <f t="shared" si="347"/>
        <v>4.9512941970965327E-2</v>
      </c>
    </row>
    <row r="804" spans="1:18">
      <c r="A804" s="3" t="s">
        <v>7</v>
      </c>
      <c r="B804" s="2">
        <f>(B798-57.317)/(78.065-57.317)</f>
        <v>0.81482199871160066</v>
      </c>
      <c r="C804" s="2">
        <f t="shared" ref="C804:R804" si="348">(C798-57.317)/(78.065-57.317)</f>
        <v>0.85158134548378528</v>
      </c>
      <c r="D804" s="2">
        <f t="shared" si="348"/>
        <v>0.9216791979949881</v>
      </c>
      <c r="E804" s="2">
        <f t="shared" si="348"/>
        <v>0.83202024761716675</v>
      </c>
      <c r="F804" s="2">
        <f t="shared" si="348"/>
        <v>0.83106805475226619</v>
      </c>
      <c r="G804" s="2">
        <f t="shared" si="348"/>
        <v>0.88119336803547377</v>
      </c>
      <c r="H804" s="2">
        <f t="shared" si="348"/>
        <v>0.89135009192775649</v>
      </c>
      <c r="I804" s="2">
        <f t="shared" si="348"/>
        <v>0.7967902871625594</v>
      </c>
      <c r="J804" s="2">
        <f t="shared" si="348"/>
        <v>0.99998236679879882</v>
      </c>
      <c r="K804" s="2">
        <f t="shared" si="348"/>
        <v>0.91350914810478412</v>
      </c>
      <c r="L804" s="2">
        <f t="shared" si="348"/>
        <v>0.80995523517988244</v>
      </c>
      <c r="M804" s="2">
        <f t="shared" si="348"/>
        <v>0.91209849200863435</v>
      </c>
      <c r="N804" s="2">
        <f t="shared" si="348"/>
        <v>0.9250765280932165</v>
      </c>
      <c r="O804" s="2">
        <f t="shared" si="348"/>
        <v>0.94535470947537736</v>
      </c>
      <c r="P804" s="2">
        <f t="shared" si="348"/>
        <v>0.94380298776961202</v>
      </c>
      <c r="Q804" s="2">
        <f t="shared" si="348"/>
        <v>0.84886583249869629</v>
      </c>
      <c r="R804" s="2">
        <f t="shared" si="348"/>
        <v>0.83370127946507977</v>
      </c>
    </row>
    <row r="805" spans="1:18">
      <c r="A805" s="4" t="s">
        <v>8</v>
      </c>
      <c r="B805" s="2">
        <f>(B799-29.941)/(115.145-29.941)</f>
        <v>0.79861015914745792</v>
      </c>
      <c r="C805" s="2">
        <f t="shared" ref="C805:R805" si="349">(C799-29.941)/(115.145-29.941)</f>
        <v>0.7857334162715367</v>
      </c>
      <c r="D805" s="2">
        <f t="shared" si="349"/>
        <v>0.81103035068776119</v>
      </c>
      <c r="E805" s="2">
        <f t="shared" si="349"/>
        <v>0.88571675038730591</v>
      </c>
      <c r="F805" s="2">
        <f t="shared" si="349"/>
        <v>0.88947373362752935</v>
      </c>
      <c r="G805" s="2">
        <f t="shared" si="349"/>
        <v>0.69988615557955025</v>
      </c>
      <c r="H805" s="2">
        <f t="shared" si="349"/>
        <v>0.51725764048636214</v>
      </c>
      <c r="I805" s="2">
        <f t="shared" si="349"/>
        <v>0.80007534857518425</v>
      </c>
      <c r="J805" s="2">
        <f t="shared" si="349"/>
        <v>0.77287885545279567</v>
      </c>
      <c r="K805" s="2">
        <f t="shared" si="349"/>
        <v>0.99999636167316086</v>
      </c>
      <c r="L805" s="2">
        <f t="shared" si="349"/>
        <v>0.63193852401295714</v>
      </c>
      <c r="M805" s="2">
        <f t="shared" si="349"/>
        <v>0.79045385193183426</v>
      </c>
      <c r="N805" s="2">
        <f t="shared" si="349"/>
        <v>0.80326287498239524</v>
      </c>
      <c r="O805" s="2">
        <f t="shared" si="349"/>
        <v>0.70086991221069439</v>
      </c>
      <c r="P805" s="2">
        <f t="shared" si="349"/>
        <v>0.75598974226562132</v>
      </c>
      <c r="Q805" s="2">
        <f t="shared" si="349"/>
        <v>0.63418783155720382</v>
      </c>
      <c r="R805" s="2">
        <f t="shared" si="349"/>
        <v>0.7674917844232666</v>
      </c>
    </row>
    <row r="806" spans="1:18">
      <c r="A806" s="3" t="s">
        <v>73</v>
      </c>
      <c r="B806" s="2">
        <f>(B800+B801+B802+B803+B804+B805)/6</f>
        <v>0.64023332713516112</v>
      </c>
      <c r="C806" s="2">
        <f t="shared" ref="C806:R806" si="350">(C800+C801+C802+C803+C804+C805)/6</f>
        <v>0.73630105878846452</v>
      </c>
      <c r="D806" s="2">
        <f t="shared" si="350"/>
        <v>0.67776081623733253</v>
      </c>
      <c r="E806" s="2">
        <f t="shared" si="350"/>
        <v>0.67545160166934848</v>
      </c>
      <c r="F806" s="2">
        <f t="shared" si="350"/>
        <v>0.63682627676743175</v>
      </c>
      <c r="G806" s="2">
        <f t="shared" si="350"/>
        <v>0.58988613925441036</v>
      </c>
      <c r="H806" s="2">
        <f t="shared" si="350"/>
        <v>0.57782467512135771</v>
      </c>
      <c r="I806" s="2">
        <f t="shared" si="350"/>
        <v>0.63379553860995186</v>
      </c>
      <c r="J806" s="2">
        <f t="shared" si="350"/>
        <v>0.6616289136328446</v>
      </c>
      <c r="K806" s="2">
        <f t="shared" si="350"/>
        <v>0.79219707225568603</v>
      </c>
      <c r="L806" s="2">
        <f t="shared" si="350"/>
        <v>0.57062342521609644</v>
      </c>
      <c r="M806" s="2">
        <f t="shared" si="350"/>
        <v>0.76764122237285048</v>
      </c>
      <c r="N806" s="2">
        <f t="shared" si="350"/>
        <v>0.58451493560448553</v>
      </c>
      <c r="O806" s="2">
        <f t="shared" si="350"/>
        <v>0.64743606500294548</v>
      </c>
      <c r="P806" s="2">
        <f t="shared" si="350"/>
        <v>0.77469884346937989</v>
      </c>
      <c r="Q806" s="2">
        <f t="shared" si="350"/>
        <v>0.5471981046492268</v>
      </c>
      <c r="R806" s="2">
        <f t="shared" si="350"/>
        <v>0.60613247847661178</v>
      </c>
    </row>
    <row r="808" spans="1:18">
      <c r="A808" s="1" t="s">
        <v>9</v>
      </c>
      <c r="B808" s="2" t="s">
        <v>10</v>
      </c>
      <c r="C808" s="2" t="s">
        <v>11</v>
      </c>
      <c r="D808" s="2" t="s">
        <v>12</v>
      </c>
      <c r="E808" s="2" t="s">
        <v>13</v>
      </c>
      <c r="F808" s="2" t="s">
        <v>14</v>
      </c>
      <c r="G808" s="2" t="s">
        <v>15</v>
      </c>
      <c r="H808" s="2" t="s">
        <v>16</v>
      </c>
      <c r="I808" s="2" t="s">
        <v>17</v>
      </c>
      <c r="J808" s="2" t="s">
        <v>18</v>
      </c>
      <c r="K808" s="2" t="s">
        <v>19</v>
      </c>
      <c r="L808" s="2" t="s">
        <v>20</v>
      </c>
      <c r="M808" s="2" t="s">
        <v>21</v>
      </c>
      <c r="N808" s="2" t="s">
        <v>22</v>
      </c>
      <c r="O808" s="2" t="s">
        <v>23</v>
      </c>
      <c r="P808" s="2" t="s">
        <v>24</v>
      </c>
      <c r="Q808" s="2" t="s">
        <v>25</v>
      </c>
      <c r="R808" s="2" t="s">
        <v>26</v>
      </c>
    </row>
    <row r="809" spans="1:18">
      <c r="A809" s="1"/>
      <c r="B809" s="2">
        <v>1985</v>
      </c>
      <c r="C809" s="2">
        <v>1985</v>
      </c>
      <c r="D809" s="2">
        <v>1985</v>
      </c>
      <c r="E809" s="2">
        <v>1985</v>
      </c>
      <c r="F809" s="2">
        <v>1985</v>
      </c>
      <c r="G809" s="2">
        <v>1985</v>
      </c>
      <c r="H809" s="2">
        <v>1985</v>
      </c>
      <c r="I809" s="2">
        <v>1985</v>
      </c>
      <c r="J809" s="2">
        <v>1985</v>
      </c>
      <c r="K809" s="2">
        <v>1985</v>
      </c>
      <c r="L809" s="2">
        <v>1985</v>
      </c>
      <c r="M809" s="2">
        <v>1985</v>
      </c>
      <c r="N809" s="2">
        <v>1985</v>
      </c>
      <c r="O809" s="2">
        <v>1985</v>
      </c>
      <c r="P809" s="2">
        <v>1985</v>
      </c>
      <c r="Q809" s="2">
        <v>1985</v>
      </c>
      <c r="R809" s="2">
        <v>1985</v>
      </c>
    </row>
    <row r="810" spans="1:18">
      <c r="A810" s="1" t="s">
        <v>0</v>
      </c>
      <c r="B810" s="3">
        <v>8215.8771374465505</v>
      </c>
      <c r="C810" s="3">
        <v>6793.0932727010304</v>
      </c>
      <c r="D810" s="3">
        <v>5439.8561422400708</v>
      </c>
      <c r="E810" s="3">
        <v>814.0746264205344</v>
      </c>
      <c r="F810" s="3">
        <v>5288.4118449027292</v>
      </c>
      <c r="G810" s="3">
        <v>5539.4172521986484</v>
      </c>
      <c r="H810" s="3">
        <v>1012.7708248408782</v>
      </c>
      <c r="I810" s="3">
        <v>1615.0519593227132</v>
      </c>
      <c r="J810" s="3">
        <v>5699.1218315897604</v>
      </c>
      <c r="K810" s="3">
        <v>10198.032428799617</v>
      </c>
      <c r="L810" s="3">
        <v>5473.1258421717266</v>
      </c>
      <c r="M810" s="3">
        <v>2296.9538381063617</v>
      </c>
      <c r="N810" s="3">
        <v>2641.9269369798408</v>
      </c>
      <c r="O810" s="3">
        <v>4341.1698481494495</v>
      </c>
      <c r="P810" s="3">
        <v>6776.8424018523056</v>
      </c>
      <c r="Q810" s="3">
        <v>6233.0312601860524</v>
      </c>
      <c r="R810" s="3">
        <v>9604.7378631624852</v>
      </c>
    </row>
    <row r="811" spans="1:18">
      <c r="A811" s="1" t="s">
        <v>1</v>
      </c>
      <c r="B811" s="2">
        <v>18457</v>
      </c>
      <c r="C811" s="2">
        <v>11643</v>
      </c>
      <c r="D811" s="2">
        <v>16478</v>
      </c>
      <c r="E811" s="2">
        <v>2180</v>
      </c>
      <c r="F811" s="2">
        <v>13876</v>
      </c>
      <c r="G811" s="2">
        <v>13783</v>
      </c>
      <c r="H811" s="2">
        <v>2948</v>
      </c>
      <c r="I811" s="2">
        <v>5179</v>
      </c>
      <c r="J811" s="2">
        <v>11488</v>
      </c>
      <c r="K811" s="2">
        <v>18735</v>
      </c>
      <c r="L811" s="2">
        <v>11249</v>
      </c>
      <c r="M811" s="2">
        <v>5732</v>
      </c>
      <c r="N811" s="2">
        <v>6057</v>
      </c>
      <c r="O811" s="2">
        <v>10977</v>
      </c>
      <c r="P811" s="2">
        <v>13236</v>
      </c>
      <c r="Q811" s="2">
        <v>17142</v>
      </c>
      <c r="R811" s="2">
        <v>29371</v>
      </c>
    </row>
    <row r="812" spans="1:18">
      <c r="A812" s="1" t="s">
        <v>2</v>
      </c>
      <c r="B812" s="2">
        <v>23.051837888784167</v>
      </c>
      <c r="C812" s="2">
        <v>31.790166901665621</v>
      </c>
      <c r="D812" s="2">
        <v>19.627893386032191</v>
      </c>
      <c r="E812" s="2">
        <v>34.272078447724823</v>
      </c>
      <c r="F812" s="2">
        <v>20.316286569619137</v>
      </c>
      <c r="G812" s="2">
        <v>12.151283417320601</v>
      </c>
      <c r="H812" s="2">
        <v>21.121331391626882</v>
      </c>
      <c r="I812" s="2">
        <v>29.708814901426283</v>
      </c>
      <c r="J812" s="2">
        <v>29.850768199077361</v>
      </c>
      <c r="K812" s="2">
        <v>26.254366823537755</v>
      </c>
      <c r="L812" s="2">
        <v>24.933646169526074</v>
      </c>
      <c r="M812" s="2">
        <v>16.468928084940451</v>
      </c>
      <c r="N812" s="2">
        <v>25.516610072470471</v>
      </c>
      <c r="O812" s="2">
        <v>24.13262470968753</v>
      </c>
      <c r="P812" s="2">
        <v>13.407616702813751</v>
      </c>
      <c r="Q812" s="2">
        <v>17.035257545876924</v>
      </c>
      <c r="R812" s="2">
        <v>25.200934464965357</v>
      </c>
    </row>
    <row r="813" spans="1:18">
      <c r="A813" s="1" t="s">
        <v>3</v>
      </c>
      <c r="B813" s="2">
        <v>18.009425070688028</v>
      </c>
      <c r="C813" s="2">
        <v>85.997366495443416</v>
      </c>
      <c r="D813" s="2">
        <v>53.860456856565229</v>
      </c>
      <c r="E813" s="2">
        <v>22.502283046651797</v>
      </c>
      <c r="F813" s="2">
        <v>26.339726366005806</v>
      </c>
      <c r="G813" s="2">
        <v>55.840585959064384</v>
      </c>
      <c r="H813" s="2">
        <v>12.677708069791308</v>
      </c>
      <c r="I813" s="2">
        <v>42.650063738225292</v>
      </c>
      <c r="J813" s="2">
        <v>103.16543211107241</v>
      </c>
      <c r="K813" s="2">
        <v>25.748738566982382</v>
      </c>
      <c r="L813" s="2">
        <v>39.424261083743843</v>
      </c>
      <c r="M813" s="2">
        <v>45.909040835275746</v>
      </c>
      <c r="N813" s="2">
        <v>49.1552276419118</v>
      </c>
      <c r="O813" s="2">
        <v>70.236382029836292</v>
      </c>
      <c r="P813" s="2">
        <v>34.827077984493741</v>
      </c>
      <c r="Q813" s="2">
        <v>47.856569843232947</v>
      </c>
      <c r="R813" s="2">
        <v>42.183877584198711</v>
      </c>
    </row>
    <row r="814" spans="1:18">
      <c r="A814" s="6" t="s">
        <v>27</v>
      </c>
      <c r="B814" s="5">
        <v>70.586512195121969</v>
      </c>
      <c r="C814" s="5">
        <v>71.228048780487796</v>
      </c>
      <c r="D814" s="5">
        <v>71.905000000000001</v>
      </c>
      <c r="E814" s="5">
        <v>68.313146341463423</v>
      </c>
      <c r="F814" s="5">
        <v>67.575585365853655</v>
      </c>
      <c r="G814" s="5">
        <v>74.624000000000009</v>
      </c>
      <c r="H814" s="5">
        <v>57.031926829268293</v>
      </c>
      <c r="I814" s="5">
        <v>59.986658536585367</v>
      </c>
      <c r="J814" s="5">
        <v>68.819853658536587</v>
      </c>
      <c r="K814" s="5">
        <v>68.778902439024407</v>
      </c>
      <c r="L814" s="5">
        <v>62.969048780487803</v>
      </c>
      <c r="M814" s="5">
        <v>64.214341463414655</v>
      </c>
      <c r="N814" s="5">
        <v>70.090048780487805</v>
      </c>
      <c r="O814" s="5">
        <v>65.69487804878051</v>
      </c>
      <c r="P814" s="5">
        <v>60.121365853658546</v>
      </c>
      <c r="Q814" s="5">
        <v>71.536756097560982</v>
      </c>
      <c r="R814" s="5">
        <v>69.762219512195131</v>
      </c>
    </row>
    <row r="815" spans="1:18">
      <c r="A815" s="6" t="s">
        <v>48</v>
      </c>
      <c r="B815" s="5">
        <v>70.218000000000004</v>
      </c>
      <c r="C815" s="5">
        <v>94.007900000000006</v>
      </c>
      <c r="D815" s="5">
        <v>75.590900000000005</v>
      </c>
      <c r="E815" s="5">
        <v>31.67634</v>
      </c>
      <c r="F815" s="5">
        <v>46.300890000000003</v>
      </c>
      <c r="G815" s="5">
        <v>40.396239999999999</v>
      </c>
      <c r="H815" s="5">
        <v>36.493000000000002</v>
      </c>
      <c r="I815" s="5">
        <v>41.573399999999999</v>
      </c>
      <c r="J815" s="5">
        <v>53.684040000000003</v>
      </c>
      <c r="K815" s="5">
        <v>56.443449999999999</v>
      </c>
      <c r="L815" s="5">
        <v>63.221429999999998</v>
      </c>
      <c r="M815" s="5">
        <v>67.721130000000002</v>
      </c>
      <c r="N815" s="5">
        <v>30.404309999999999</v>
      </c>
      <c r="O815" s="5">
        <v>36.40363</v>
      </c>
      <c r="P815" s="5">
        <v>42.438760000000002</v>
      </c>
      <c r="Q815" s="5">
        <v>71.999840000000006</v>
      </c>
      <c r="R815" s="5">
        <v>56.28698</v>
      </c>
    </row>
    <row r="816" spans="1:18">
      <c r="A816" s="3" t="s">
        <v>4</v>
      </c>
      <c r="B816" s="2">
        <f>(B810-814.07)/(10198.03-814.07)</f>
        <v>0.78877223873999358</v>
      </c>
      <c r="C816" s="2">
        <f t="shared" ref="C816:R816" si="351">(C810-814.07)/(10198.03-814.07)</f>
        <v>0.63715353355097737</v>
      </c>
      <c r="D816" s="2">
        <f t="shared" si="351"/>
        <v>0.49294606352116488</v>
      </c>
      <c r="E816" s="2">
        <f t="shared" si="351"/>
        <v>4.9301366740165901E-7</v>
      </c>
      <c r="F816" s="2">
        <f t="shared" si="351"/>
        <v>0.47680742936912873</v>
      </c>
      <c r="G816" s="2">
        <f t="shared" si="351"/>
        <v>0.50355577519497607</v>
      </c>
      <c r="H816" s="2">
        <f t="shared" si="351"/>
        <v>2.1174517457542241E-2</v>
      </c>
      <c r="I816" s="2">
        <f t="shared" si="351"/>
        <v>8.5356497611105864E-2</v>
      </c>
      <c r="J816" s="2">
        <f t="shared" si="351"/>
        <v>0.52057466480992676</v>
      </c>
      <c r="K816" s="2">
        <f t="shared" si="351"/>
        <v>1.0000002588245918</v>
      </c>
      <c r="L816" s="2">
        <f t="shared" si="351"/>
        <v>0.49649144307645454</v>
      </c>
      <c r="M816" s="2">
        <f t="shared" si="351"/>
        <v>0.15802324797914327</v>
      </c>
      <c r="N816" s="2">
        <f t="shared" si="351"/>
        <v>0.19478524386078377</v>
      </c>
      <c r="O816" s="2">
        <f t="shared" si="351"/>
        <v>0.37586475732520697</v>
      </c>
      <c r="P816" s="2">
        <f t="shared" si="351"/>
        <v>0.63542176243849136</v>
      </c>
      <c r="Q816" s="2">
        <f t="shared" si="351"/>
        <v>0.57747062649308523</v>
      </c>
      <c r="R816" s="2">
        <f t="shared" si="351"/>
        <v>0.93677593075444532</v>
      </c>
    </row>
    <row r="817" spans="1:18">
      <c r="A817" s="3" t="s">
        <v>5</v>
      </c>
      <c r="B817" s="2">
        <f>(B811-2180)/(29371-2180)</f>
        <v>0.59861718951123533</v>
      </c>
      <c r="C817" s="2">
        <f t="shared" ref="C817:R817" si="352">(C811-2180)/(29371-2180)</f>
        <v>0.34801956529734102</v>
      </c>
      <c r="D817" s="2">
        <f t="shared" si="352"/>
        <v>0.52583575447758446</v>
      </c>
      <c r="E817" s="2">
        <f t="shared" si="352"/>
        <v>0</v>
      </c>
      <c r="F817" s="2">
        <f t="shared" si="352"/>
        <v>0.4301423265050936</v>
      </c>
      <c r="G817" s="2">
        <f t="shared" si="352"/>
        <v>0.42672207715788313</v>
      </c>
      <c r="H817" s="2">
        <f t="shared" si="352"/>
        <v>2.8244639770512302E-2</v>
      </c>
      <c r="I817" s="2">
        <f t="shared" si="352"/>
        <v>0.11029384722886248</v>
      </c>
      <c r="J817" s="2">
        <f t="shared" si="352"/>
        <v>0.3423191497186569</v>
      </c>
      <c r="K817" s="2">
        <f t="shared" si="352"/>
        <v>0.60884116067816552</v>
      </c>
      <c r="L817" s="2">
        <f t="shared" si="352"/>
        <v>0.33352947666507299</v>
      </c>
      <c r="M817" s="2">
        <f t="shared" si="352"/>
        <v>0.13063145893861938</v>
      </c>
      <c r="N817" s="2">
        <f t="shared" si="352"/>
        <v>0.14258394321650547</v>
      </c>
      <c r="O817" s="2">
        <f t="shared" si="352"/>
        <v>0.32352616674634987</v>
      </c>
      <c r="P817" s="2">
        <f t="shared" si="352"/>
        <v>0.40660512669633336</v>
      </c>
      <c r="Q817" s="2">
        <f t="shared" si="352"/>
        <v>0.55025559927917322</v>
      </c>
      <c r="R817" s="2">
        <f t="shared" si="352"/>
        <v>1</v>
      </c>
    </row>
    <row r="818" spans="1:18">
      <c r="A818" s="3" t="s">
        <v>6</v>
      </c>
      <c r="B818" s="2">
        <f t="shared" ref="B818:R818" si="353">(B812-12.151)/(34.272-12.151)</f>
        <v>0.49278232850161241</v>
      </c>
      <c r="C818" s="2">
        <f t="shared" si="353"/>
        <v>0.88780646904143679</v>
      </c>
      <c r="D818" s="2">
        <f t="shared" si="353"/>
        <v>0.33799979142137299</v>
      </c>
      <c r="E818" s="2">
        <f t="shared" si="353"/>
        <v>1.0000035463010182</v>
      </c>
      <c r="F818" s="2">
        <f t="shared" si="353"/>
        <v>0.36911923374255856</v>
      </c>
      <c r="G818" s="2">
        <f t="shared" si="353"/>
        <v>1.2812138718899517E-5</v>
      </c>
      <c r="H818" s="2">
        <f t="shared" si="353"/>
        <v>0.40551201987373459</v>
      </c>
      <c r="I818" s="2">
        <f t="shared" si="353"/>
        <v>0.79371705173483498</v>
      </c>
      <c r="J818" s="2">
        <f t="shared" si="353"/>
        <v>0.80013418014906024</v>
      </c>
      <c r="K818" s="2">
        <f t="shared" si="353"/>
        <v>0.63755557269281482</v>
      </c>
      <c r="L818" s="2">
        <f t="shared" si="353"/>
        <v>0.57785118979820427</v>
      </c>
      <c r="M818" s="2">
        <f t="shared" si="353"/>
        <v>0.19519588106055114</v>
      </c>
      <c r="N818" s="2">
        <f t="shared" si="353"/>
        <v>0.60420460523803043</v>
      </c>
      <c r="O818" s="2">
        <f t="shared" si="353"/>
        <v>0.54164028342694859</v>
      </c>
      <c r="P818" s="2">
        <f t="shared" si="353"/>
        <v>5.6806505258069323E-2</v>
      </c>
      <c r="Q818" s="2">
        <f t="shared" si="353"/>
        <v>0.22079732136327129</v>
      </c>
      <c r="R818" s="2">
        <f t="shared" si="353"/>
        <v>0.58993420120995244</v>
      </c>
    </row>
    <row r="819" spans="1:18">
      <c r="A819" s="3" t="s">
        <v>3</v>
      </c>
      <c r="B819" s="2">
        <f>(B813-12.678)/(103.165-12.678)</f>
        <v>5.8919237798667506E-2</v>
      </c>
      <c r="C819" s="2">
        <f t="shared" ref="C819:R819" si="354">(C813-12.678)/(103.165-12.678)</f>
        <v>0.81027513891988256</v>
      </c>
      <c r="D819" s="2">
        <f t="shared" si="354"/>
        <v>0.45512014827063801</v>
      </c>
      <c r="E819" s="2">
        <f t="shared" si="354"/>
        <v>0.10857120963952607</v>
      </c>
      <c r="F819" s="2">
        <f t="shared" si="354"/>
        <v>0.15097999012019189</v>
      </c>
      <c r="G819" s="2">
        <f t="shared" si="354"/>
        <v>0.4770031712739331</v>
      </c>
      <c r="H819" s="2">
        <f t="shared" si="354"/>
        <v>-3.226211596063557E-6</v>
      </c>
      <c r="I819" s="2">
        <f t="shared" si="354"/>
        <v>0.33123060481865119</v>
      </c>
      <c r="J819" s="2">
        <f t="shared" si="354"/>
        <v>1.0000047753939505</v>
      </c>
      <c r="K819" s="2">
        <f t="shared" si="354"/>
        <v>0.1444488000152771</v>
      </c>
      <c r="L819" s="2">
        <f t="shared" si="354"/>
        <v>0.29558125569135724</v>
      </c>
      <c r="M819" s="2">
        <f t="shared" si="354"/>
        <v>0.367246575035925</v>
      </c>
      <c r="N819" s="2">
        <f t="shared" si="354"/>
        <v>0.40312119577300376</v>
      </c>
      <c r="O819" s="2">
        <f t="shared" si="354"/>
        <v>0.6360955941719395</v>
      </c>
      <c r="P819" s="2">
        <f t="shared" si="354"/>
        <v>0.24477635444311047</v>
      </c>
      <c r="Q819" s="2">
        <f t="shared" si="354"/>
        <v>0.38876932424804611</v>
      </c>
      <c r="R819" s="2">
        <f t="shared" si="354"/>
        <v>0.32607863653562069</v>
      </c>
    </row>
    <row r="820" spans="1:18">
      <c r="A820" s="3" t="s">
        <v>7</v>
      </c>
      <c r="B820" s="2">
        <f>(B814-57.032)/(71.905-57.032)</f>
        <v>0.91135024508316875</v>
      </c>
      <c r="C820" s="2">
        <f t="shared" ref="C820:R820" si="355">(C814-57.032)/(71.905-57.032)</f>
        <v>0.95448455459475534</v>
      </c>
      <c r="D820" s="2">
        <f t="shared" si="355"/>
        <v>1</v>
      </c>
      <c r="E820" s="2">
        <f t="shared" si="355"/>
        <v>0.75849837567830447</v>
      </c>
      <c r="F820" s="2">
        <f t="shared" si="355"/>
        <v>0.70890777690134177</v>
      </c>
      <c r="G820" s="2">
        <f t="shared" si="355"/>
        <v>1.1828144960666986</v>
      </c>
      <c r="H820" s="2">
        <f t="shared" si="355"/>
        <v>-4.9197022593281282E-6</v>
      </c>
      <c r="I820" s="2">
        <f t="shared" si="355"/>
        <v>0.19865921714417867</v>
      </c>
      <c r="J820" s="2">
        <f t="shared" si="355"/>
        <v>0.79256731382616741</v>
      </c>
      <c r="K820" s="2">
        <f t="shared" si="355"/>
        <v>0.78981392046153476</v>
      </c>
      <c r="L820" s="2">
        <f t="shared" si="355"/>
        <v>0.39918300144475255</v>
      </c>
      <c r="M820" s="2">
        <f t="shared" si="355"/>
        <v>0.48291141420121403</v>
      </c>
      <c r="N820" s="2">
        <f t="shared" si="355"/>
        <v>0.877970065251651</v>
      </c>
      <c r="O820" s="2">
        <f t="shared" si="355"/>
        <v>0.58245666972234988</v>
      </c>
      <c r="P820" s="2">
        <f t="shared" si="355"/>
        <v>0.20771638900413825</v>
      </c>
      <c r="Q820" s="2">
        <f t="shared" si="355"/>
        <v>0.97524077842808987</v>
      </c>
      <c r="R820" s="2">
        <f t="shared" si="355"/>
        <v>0.85592815922780408</v>
      </c>
    </row>
    <row r="821" spans="1:18">
      <c r="A821" s="4" t="s">
        <v>8</v>
      </c>
      <c r="B821" s="2">
        <f>(B815-30.404)/(94.008-30.404)</f>
        <v>0.62596692031947687</v>
      </c>
      <c r="C821" s="2">
        <f t="shared" ref="C821:R821" si="356">(C815-30.404)/(94.008-30.404)</f>
        <v>0.99999842777183845</v>
      </c>
      <c r="D821" s="2">
        <f t="shared" si="356"/>
        <v>0.71044116722218742</v>
      </c>
      <c r="E821" s="2">
        <f t="shared" si="356"/>
        <v>2.0004087793220549E-2</v>
      </c>
      <c r="F821" s="2">
        <f t="shared" si="356"/>
        <v>0.24993538142255209</v>
      </c>
      <c r="G821" s="2">
        <f t="shared" si="356"/>
        <v>0.15710081126973144</v>
      </c>
      <c r="H821" s="2">
        <f t="shared" si="356"/>
        <v>9.5732972769008273E-2</v>
      </c>
      <c r="I821" s="2">
        <f t="shared" si="356"/>
        <v>0.17560845229859756</v>
      </c>
      <c r="J821" s="2">
        <f t="shared" si="356"/>
        <v>0.36601534494685872</v>
      </c>
      <c r="K821" s="2">
        <f t="shared" si="356"/>
        <v>0.40939956606502736</v>
      </c>
      <c r="L821" s="2">
        <f t="shared" si="356"/>
        <v>0.51596487642286648</v>
      </c>
      <c r="M821" s="2">
        <f t="shared" si="356"/>
        <v>0.5867104270171688</v>
      </c>
      <c r="N821" s="2">
        <f t="shared" si="356"/>
        <v>4.8739073014106383E-6</v>
      </c>
      <c r="O821" s="2">
        <f t="shared" si="356"/>
        <v>9.4327872460851517E-2</v>
      </c>
      <c r="P821" s="2">
        <f t="shared" si="356"/>
        <v>0.18921388591912461</v>
      </c>
      <c r="Q821" s="2">
        <f t="shared" si="356"/>
        <v>0.65398151059681797</v>
      </c>
      <c r="R821" s="2">
        <f t="shared" si="356"/>
        <v>0.40693950066033585</v>
      </c>
    </row>
    <row r="822" spans="1:18">
      <c r="A822" s="3" t="s">
        <v>75</v>
      </c>
      <c r="B822" s="2">
        <f>(B816+B817+B818+B819+B820+B821)/6</f>
        <v>0.57940135999235898</v>
      </c>
      <c r="C822" s="2">
        <f t="shared" ref="C822:R822" si="357">(C816+C817+C818+C819+C820+C821)/6</f>
        <v>0.7729562815293719</v>
      </c>
      <c r="D822" s="2">
        <f t="shared" si="357"/>
        <v>0.58705715415215798</v>
      </c>
      <c r="E822" s="2">
        <f t="shared" si="357"/>
        <v>0.31451295207095614</v>
      </c>
      <c r="F822" s="2">
        <f t="shared" si="357"/>
        <v>0.39764868967681105</v>
      </c>
      <c r="G822" s="2">
        <f t="shared" si="357"/>
        <v>0.45786819051699018</v>
      </c>
      <c r="H822" s="2">
        <f t="shared" si="357"/>
        <v>9.177600065949032E-2</v>
      </c>
      <c r="I822" s="2">
        <f t="shared" si="357"/>
        <v>0.28247761180603853</v>
      </c>
      <c r="J822" s="2">
        <f t="shared" si="357"/>
        <v>0.63693590480743667</v>
      </c>
      <c r="K822" s="2">
        <f t="shared" si="357"/>
        <v>0.59834321312290195</v>
      </c>
      <c r="L822" s="2">
        <f t="shared" si="357"/>
        <v>0.43643354051645139</v>
      </c>
      <c r="M822" s="2">
        <f t="shared" si="357"/>
        <v>0.32011983403877026</v>
      </c>
      <c r="N822" s="2">
        <f t="shared" si="357"/>
        <v>0.37044498787454594</v>
      </c>
      <c r="O822" s="2">
        <f t="shared" si="357"/>
        <v>0.42565189064227438</v>
      </c>
      <c r="P822" s="2">
        <f t="shared" si="357"/>
        <v>0.29009000395987788</v>
      </c>
      <c r="Q822" s="2">
        <f t="shared" si="357"/>
        <v>0.56108586006808059</v>
      </c>
      <c r="R822" s="2">
        <f t="shared" si="357"/>
        <v>0.68594273806469308</v>
      </c>
    </row>
    <row r="824" spans="1:18">
      <c r="A824" s="1" t="s">
        <v>9</v>
      </c>
      <c r="B824" s="2" t="s">
        <v>28</v>
      </c>
      <c r="C824" s="2" t="s">
        <v>29</v>
      </c>
      <c r="D824" s="2" t="s">
        <v>30</v>
      </c>
      <c r="E824" s="2" t="s">
        <v>31</v>
      </c>
      <c r="F824" s="2" t="s">
        <v>32</v>
      </c>
      <c r="G824" s="2" t="s">
        <v>33</v>
      </c>
      <c r="H824" s="2" t="s">
        <v>34</v>
      </c>
      <c r="I824" s="2" t="s">
        <v>35</v>
      </c>
      <c r="J824" s="2" t="s">
        <v>36</v>
      </c>
      <c r="K824" s="2" t="s">
        <v>37</v>
      </c>
      <c r="L824" s="2" t="s">
        <v>38</v>
      </c>
      <c r="M824" s="2" t="s">
        <v>39</v>
      </c>
      <c r="N824" s="2" t="s">
        <v>40</v>
      </c>
      <c r="O824" s="2" t="s">
        <v>41</v>
      </c>
      <c r="P824" s="2" t="s">
        <v>42</v>
      </c>
      <c r="Q824" s="2" t="s">
        <v>43</v>
      </c>
      <c r="R824" s="2" t="s">
        <v>44</v>
      </c>
    </row>
    <row r="825" spans="1:18">
      <c r="A825" s="1"/>
      <c r="B825" s="2" t="s">
        <v>74</v>
      </c>
      <c r="C825" s="2" t="s">
        <v>74</v>
      </c>
      <c r="D825" s="2" t="s">
        <v>74</v>
      </c>
      <c r="E825" s="2" t="s">
        <v>74</v>
      </c>
      <c r="F825" s="2" t="s">
        <v>74</v>
      </c>
      <c r="G825" s="2" t="s">
        <v>74</v>
      </c>
      <c r="H825" s="2" t="s">
        <v>74</v>
      </c>
      <c r="I825" s="2" t="s">
        <v>74</v>
      </c>
      <c r="J825" s="2" t="s">
        <v>74</v>
      </c>
      <c r="K825" s="2" t="s">
        <v>74</v>
      </c>
      <c r="L825" s="2" t="s">
        <v>74</v>
      </c>
      <c r="M825" s="2" t="s">
        <v>74</v>
      </c>
      <c r="N825" s="2" t="s">
        <v>74</v>
      </c>
      <c r="O825" s="2" t="s">
        <v>74</v>
      </c>
      <c r="P825" s="2" t="s">
        <v>74</v>
      </c>
      <c r="Q825" s="2" t="s">
        <v>74</v>
      </c>
      <c r="R825" s="2" t="s">
        <v>74</v>
      </c>
    </row>
    <row r="826" spans="1:18">
      <c r="A826" s="1" t="s">
        <v>0</v>
      </c>
      <c r="B826" s="3">
        <v>21171.470696185846</v>
      </c>
      <c r="C826" s="3">
        <v>21795.776253426935</v>
      </c>
      <c r="D826" s="3">
        <v>25043.130690268164</v>
      </c>
      <c r="E826" s="3">
        <v>23814.364482567624</v>
      </c>
      <c r="F826" s="3">
        <v>19941.391241896083</v>
      </c>
      <c r="G826" s="3">
        <v>21240.617986891164</v>
      </c>
      <c r="H826" s="3">
        <v>20395.453895393875</v>
      </c>
      <c r="I826" s="3">
        <v>20033.016750990857</v>
      </c>
      <c r="J826" s="3">
        <v>21264.635402768952</v>
      </c>
      <c r="K826" s="3">
        <v>22993.329011413167</v>
      </c>
      <c r="L826" s="3">
        <v>19148.337325081036</v>
      </c>
      <c r="M826" s="3">
        <v>30377.357112811969</v>
      </c>
      <c r="N826" s="3">
        <v>16050.268638356458</v>
      </c>
      <c r="O826" s="3">
        <v>22363.710957615742</v>
      </c>
      <c r="P826" s="3">
        <v>30904.734373251235</v>
      </c>
      <c r="Q826" s="3">
        <v>19276.782767569821</v>
      </c>
      <c r="R826" s="3">
        <v>29329.21253028568</v>
      </c>
    </row>
    <row r="827" spans="1:18">
      <c r="A827" s="1" t="s">
        <v>1</v>
      </c>
      <c r="B827" s="2">
        <v>33073</v>
      </c>
      <c r="C827" s="2">
        <v>40731</v>
      </c>
      <c r="D827" s="2">
        <v>38969</v>
      </c>
      <c r="E827" s="2">
        <v>34047</v>
      </c>
      <c r="F827" s="2">
        <v>29189</v>
      </c>
      <c r="G827" s="2">
        <v>39065</v>
      </c>
      <c r="H827" s="2">
        <v>36903</v>
      </c>
      <c r="I827" s="2">
        <v>29224</v>
      </c>
      <c r="J827" s="2">
        <v>30384</v>
      </c>
      <c r="K827" s="2">
        <v>37254</v>
      </c>
      <c r="L827" s="2">
        <v>33870</v>
      </c>
      <c r="M827" s="2">
        <v>35254</v>
      </c>
      <c r="N827" s="2">
        <v>32404</v>
      </c>
      <c r="O827" s="2">
        <v>31152</v>
      </c>
      <c r="P827" s="2">
        <v>36881</v>
      </c>
      <c r="Q827" s="2">
        <v>32882</v>
      </c>
      <c r="R827" s="2">
        <v>45091</v>
      </c>
    </row>
    <row r="828" spans="1:18">
      <c r="A828" s="1" t="s">
        <v>2</v>
      </c>
      <c r="B828" s="2">
        <v>23.205024709117801</v>
      </c>
      <c r="C828" s="2">
        <v>18.857251292005799</v>
      </c>
      <c r="D828" s="2">
        <v>23.237748963381744</v>
      </c>
      <c r="E828" s="2">
        <v>21.315261973047154</v>
      </c>
      <c r="F828" s="2">
        <v>26.103191359424894</v>
      </c>
      <c r="G828" s="2">
        <v>18.063748226581676</v>
      </c>
      <c r="H828" s="2">
        <v>22.736135838434539</v>
      </c>
      <c r="I828" s="2">
        <v>19.500101555564108</v>
      </c>
      <c r="J828" s="2">
        <v>31.496249474866534</v>
      </c>
      <c r="K828" s="2">
        <v>25.012573010601162</v>
      </c>
      <c r="L828" s="2">
        <v>23.498538766538356</v>
      </c>
      <c r="M828" s="2">
        <v>33.272873403423411</v>
      </c>
      <c r="N828" s="2">
        <v>22.134026152604932</v>
      </c>
      <c r="O828" s="2">
        <v>23.417657173903301</v>
      </c>
      <c r="P828" s="2">
        <v>28.182829514905677</v>
      </c>
      <c r="Q828" s="2">
        <v>19.649876436733948</v>
      </c>
      <c r="R828" s="2">
        <v>17.544446568533743</v>
      </c>
    </row>
    <row r="829" spans="1:18">
      <c r="A829" s="1" t="s">
        <v>3</v>
      </c>
      <c r="B829" s="2">
        <v>72.514550126495237</v>
      </c>
      <c r="C829" s="2">
        <v>134.95866059911</v>
      </c>
      <c r="D829" s="2">
        <v>54.24097308292535</v>
      </c>
      <c r="E829" s="2">
        <v>75.141086131927096</v>
      </c>
      <c r="F829" s="2">
        <v>56.209104709392612</v>
      </c>
      <c r="G829" s="2">
        <v>48.072336930810287</v>
      </c>
      <c r="H829" s="2">
        <v>44.411297221630946</v>
      </c>
      <c r="I829" s="2">
        <v>111.55977628402434</v>
      </c>
      <c r="J829" s="2">
        <v>24.851313810992366</v>
      </c>
      <c r="K829" s="2">
        <v>120.05706404019381</v>
      </c>
      <c r="L829" s="2">
        <v>61.140280311575182</v>
      </c>
      <c r="M829" s="2">
        <v>78.126176615402443</v>
      </c>
      <c r="N829" s="2">
        <v>40.905670512943459</v>
      </c>
      <c r="O829" s="2">
        <v>69.341045315364454</v>
      </c>
      <c r="P829" s="2">
        <v>74.759849440623668</v>
      </c>
      <c r="Q829" s="2">
        <v>56.101869205380396</v>
      </c>
      <c r="R829" s="2">
        <v>17.186006499713248</v>
      </c>
    </row>
    <row r="830" spans="1:18">
      <c r="A830" s="6" t="s">
        <v>27</v>
      </c>
      <c r="B830" s="2">
        <v>73.745121951219517</v>
      </c>
      <c r="C830" s="2">
        <v>74.671048780487808</v>
      </c>
      <c r="D830" s="2">
        <v>76.303414634146364</v>
      </c>
      <c r="E830" s="2">
        <v>74.427560975609765</v>
      </c>
      <c r="F830" s="2">
        <v>74.222926829268303</v>
      </c>
      <c r="G830" s="2">
        <v>75.300000000000011</v>
      </c>
      <c r="H830" s="2">
        <v>75.495365853658541</v>
      </c>
      <c r="I830" s="2">
        <v>73.640902439024387</v>
      </c>
      <c r="J830" s="2">
        <v>77.65048780487804</v>
      </c>
      <c r="K830" s="2">
        <v>76.284634146341475</v>
      </c>
      <c r="L830" s="2">
        <v>73.829268292682926</v>
      </c>
      <c r="M830" s="2">
        <v>75.916829268292688</v>
      </c>
      <c r="N830" s="2">
        <v>76.259512195121957</v>
      </c>
      <c r="O830" s="2">
        <v>76.667804878048798</v>
      </c>
      <c r="P830" s="2">
        <v>76.733658536585381</v>
      </c>
      <c r="Q830" s="2">
        <v>74.629268292682937</v>
      </c>
      <c r="R830" s="2">
        <v>74.563414634146355</v>
      </c>
    </row>
    <row r="831" spans="1:18">
      <c r="A831" s="6" t="s">
        <v>8</v>
      </c>
      <c r="B831" s="2">
        <v>94.644559999999998</v>
      </c>
      <c r="C831" s="2">
        <v>95.819469999999995</v>
      </c>
      <c r="D831" s="2">
        <v>99.066559999999996</v>
      </c>
      <c r="E831" s="2">
        <v>103.55064</v>
      </c>
      <c r="F831" s="2">
        <v>104.93969</v>
      </c>
      <c r="G831" s="2">
        <v>88.643510000000006</v>
      </c>
      <c r="H831" s="2">
        <v>73.061840000000004</v>
      </c>
      <c r="I831" s="2">
        <v>97.458659999999995</v>
      </c>
      <c r="J831" s="2">
        <v>94.902959999999993</v>
      </c>
      <c r="K831" s="2">
        <v>100.65698999999999</v>
      </c>
      <c r="L831" s="2">
        <v>83.701710000000006</v>
      </c>
      <c r="M831" s="2">
        <v>97.183509999999998</v>
      </c>
      <c r="N831" s="2">
        <v>91.260930000000002</v>
      </c>
      <c r="O831" s="2">
        <v>85.192400000000006</v>
      </c>
      <c r="P831" s="2">
        <v>94.699820000000003</v>
      </c>
      <c r="Q831" s="2">
        <v>83.806039999999996</v>
      </c>
      <c r="R831" s="2">
        <v>94.712230000000005</v>
      </c>
    </row>
    <row r="832" spans="1:18">
      <c r="A832" s="3" t="s">
        <v>4</v>
      </c>
      <c r="B832" s="2">
        <f t="shared" ref="B832:R832" si="358">(B826-814.07)/(30904.73-814.07)</f>
        <v>0.67653553282599477</v>
      </c>
      <c r="C832" s="2">
        <f t="shared" si="358"/>
        <v>0.69728301916365198</v>
      </c>
      <c r="D832" s="2">
        <f t="shared" si="358"/>
        <v>0.8052020357901144</v>
      </c>
      <c r="E832" s="2">
        <f t="shared" si="358"/>
        <v>0.76436656698681993</v>
      </c>
      <c r="F832" s="2">
        <f t="shared" si="358"/>
        <v>0.63565642102553033</v>
      </c>
      <c r="G832" s="2">
        <f t="shared" si="358"/>
        <v>0.67883349806521909</v>
      </c>
      <c r="H832" s="2">
        <f t="shared" si="358"/>
        <v>0.65074624137170389</v>
      </c>
      <c r="I832" s="2">
        <f t="shared" si="358"/>
        <v>0.6387014027273199</v>
      </c>
      <c r="J832" s="2">
        <f t="shared" si="358"/>
        <v>0.67963166652938001</v>
      </c>
      <c r="K832" s="2">
        <f t="shared" si="358"/>
        <v>0.73708117440472121</v>
      </c>
      <c r="L832" s="2">
        <f t="shared" si="358"/>
        <v>0.60930093673854402</v>
      </c>
      <c r="M832" s="2">
        <f t="shared" si="358"/>
        <v>0.98247386773211254</v>
      </c>
      <c r="N832" s="2">
        <f t="shared" si="358"/>
        <v>0.50634311903947793</v>
      </c>
      <c r="O832" s="2">
        <f t="shared" si="358"/>
        <v>0.71615713838166872</v>
      </c>
      <c r="P832" s="2">
        <f t="shared" si="358"/>
        <v>1.0000001453358363</v>
      </c>
      <c r="Q832" s="2">
        <f t="shared" si="358"/>
        <v>0.61356955173365491</v>
      </c>
      <c r="R832" s="2">
        <f t="shared" si="358"/>
        <v>0.94764097996805918</v>
      </c>
    </row>
    <row r="833" spans="1:18">
      <c r="A833" s="3" t="s">
        <v>5</v>
      </c>
      <c r="B833" s="2">
        <f>(B827-2180)/(45091-2180)</f>
        <v>0.71993195218009365</v>
      </c>
      <c r="C833" s="2">
        <f t="shared" ref="C833:R833" si="359">(C827-2180)/(45091-2180)</f>
        <v>0.89839435109878585</v>
      </c>
      <c r="D833" s="2">
        <f t="shared" si="359"/>
        <v>0.85733261867586397</v>
      </c>
      <c r="E833" s="2">
        <f t="shared" si="359"/>
        <v>0.742630094847475</v>
      </c>
      <c r="F833" s="2">
        <f t="shared" si="359"/>
        <v>0.62941903008552591</v>
      </c>
      <c r="G833" s="2">
        <f t="shared" si="359"/>
        <v>0.85956980727552379</v>
      </c>
      <c r="H833" s="2">
        <f t="shared" si="359"/>
        <v>0.80918645568735292</v>
      </c>
      <c r="I833" s="2">
        <f t="shared" si="359"/>
        <v>0.63023467176248515</v>
      </c>
      <c r="J833" s="2">
        <f t="shared" si="359"/>
        <v>0.65726736734170721</v>
      </c>
      <c r="K833" s="2">
        <f t="shared" si="359"/>
        <v>0.81736617650485888</v>
      </c>
      <c r="L833" s="2">
        <f t="shared" si="359"/>
        <v>0.73850527836685231</v>
      </c>
      <c r="M833" s="2">
        <f t="shared" si="359"/>
        <v>0.77075808067861384</v>
      </c>
      <c r="N833" s="2">
        <f t="shared" si="359"/>
        <v>0.70434154412621475</v>
      </c>
      <c r="O833" s="2">
        <f t="shared" si="359"/>
        <v>0.67516487613898535</v>
      </c>
      <c r="P833" s="2">
        <f t="shared" si="359"/>
        <v>0.80867376663326418</v>
      </c>
      <c r="Q833" s="2">
        <f t="shared" si="359"/>
        <v>0.71548087902868729</v>
      </c>
      <c r="R833" s="2">
        <f t="shared" si="359"/>
        <v>1</v>
      </c>
    </row>
    <row r="834" spans="1:18">
      <c r="A834" s="3" t="s">
        <v>6</v>
      </c>
      <c r="B834" s="2">
        <f t="shared" ref="B834:R834" si="360">(B828-12.151)/(34.272-12.151)</f>
        <v>0.49970727856416081</v>
      </c>
      <c r="C834" s="2">
        <f t="shared" si="360"/>
        <v>0.3031622120159938</v>
      </c>
      <c r="D834" s="2">
        <f t="shared" si="360"/>
        <v>0.50118660835322748</v>
      </c>
      <c r="E834" s="2">
        <f t="shared" si="360"/>
        <v>0.4142788288525453</v>
      </c>
      <c r="F834" s="2">
        <f t="shared" si="360"/>
        <v>0.63072154782446066</v>
      </c>
      <c r="G834" s="2">
        <f t="shared" si="360"/>
        <v>0.26729118152803566</v>
      </c>
      <c r="H834" s="2">
        <f t="shared" si="360"/>
        <v>0.47851072910060755</v>
      </c>
      <c r="I834" s="2">
        <f t="shared" si="360"/>
        <v>0.33222284505963151</v>
      </c>
      <c r="J834" s="2">
        <f t="shared" si="360"/>
        <v>0.87451966343594478</v>
      </c>
      <c r="K834" s="2">
        <f t="shared" si="360"/>
        <v>0.58141914970395381</v>
      </c>
      <c r="L834" s="2">
        <f t="shared" si="360"/>
        <v>0.51297584948864683</v>
      </c>
      <c r="M834" s="2">
        <f t="shared" si="360"/>
        <v>0.9548335700657028</v>
      </c>
      <c r="N834" s="2">
        <f t="shared" si="360"/>
        <v>0.45129181106663047</v>
      </c>
      <c r="O834" s="2">
        <f t="shared" si="360"/>
        <v>0.50931952325407082</v>
      </c>
      <c r="P834" s="2">
        <f t="shared" si="360"/>
        <v>0.72473348921412584</v>
      </c>
      <c r="Q834" s="2">
        <f t="shared" si="360"/>
        <v>0.33899355529740738</v>
      </c>
      <c r="R834" s="2">
        <f t="shared" si="360"/>
        <v>0.24381567598814446</v>
      </c>
    </row>
    <row r="835" spans="1:18">
      <c r="A835" s="3" t="s">
        <v>3</v>
      </c>
      <c r="B835" s="2">
        <f t="shared" ref="B835:R835" si="361">(B829-12.678)/(134.959-12.678)</f>
        <v>0.48933644741615817</v>
      </c>
      <c r="C835" s="2">
        <f t="shared" si="361"/>
        <v>0.99999722441842964</v>
      </c>
      <c r="D835" s="2">
        <f t="shared" si="361"/>
        <v>0.33989722919280468</v>
      </c>
      <c r="E835" s="2">
        <f t="shared" si="361"/>
        <v>0.51081595776880384</v>
      </c>
      <c r="F835" s="2">
        <f t="shared" si="361"/>
        <v>0.35599238401217365</v>
      </c>
      <c r="G835" s="2">
        <f t="shared" si="361"/>
        <v>0.28945082989843296</v>
      </c>
      <c r="H835" s="2">
        <f t="shared" si="361"/>
        <v>0.25951126684955916</v>
      </c>
      <c r="I835" s="2">
        <f t="shared" si="361"/>
        <v>0.80864383088152969</v>
      </c>
      <c r="J835" s="2">
        <f t="shared" si="361"/>
        <v>9.9551964826852621E-2</v>
      </c>
      <c r="K835" s="2">
        <f t="shared" si="361"/>
        <v>0.87813367604283421</v>
      </c>
      <c r="L835" s="2">
        <f t="shared" si="361"/>
        <v>0.39631897278870132</v>
      </c>
      <c r="M835" s="2">
        <f t="shared" si="361"/>
        <v>0.5352276855390653</v>
      </c>
      <c r="N835" s="2">
        <f t="shared" si="361"/>
        <v>0.2308426535025348</v>
      </c>
      <c r="O835" s="2">
        <f t="shared" si="361"/>
        <v>0.46338388887369625</v>
      </c>
      <c r="P835" s="2">
        <f t="shared" si="361"/>
        <v>0.50769824781138251</v>
      </c>
      <c r="Q835" s="2">
        <f t="shared" si="361"/>
        <v>0.35511542435358229</v>
      </c>
      <c r="R835" s="2">
        <f t="shared" si="361"/>
        <v>3.6865960367622498E-2</v>
      </c>
    </row>
    <row r="836" spans="1:18">
      <c r="A836" s="3" t="s">
        <v>7</v>
      </c>
      <c r="B836" s="2">
        <f>(B830-57.032)/(77.65-57.032)</f>
        <v>0.81060830105827497</v>
      </c>
      <c r="C836" s="2">
        <f t="shared" ref="C836:R836" si="362">(C830-57.032)/(77.65-57.032)</f>
        <v>0.85551696481170847</v>
      </c>
      <c r="D836" s="2">
        <f t="shared" si="362"/>
        <v>0.93468884635494998</v>
      </c>
      <c r="E836" s="2">
        <f t="shared" si="362"/>
        <v>0.84370748741923374</v>
      </c>
      <c r="F836" s="2">
        <f t="shared" si="362"/>
        <v>0.8337824633460228</v>
      </c>
      <c r="G836" s="2">
        <f t="shared" si="362"/>
        <v>0.88602192259191026</v>
      </c>
      <c r="H836" s="2">
        <f t="shared" si="362"/>
        <v>0.89549742233284202</v>
      </c>
      <c r="I836" s="2">
        <f t="shared" si="362"/>
        <v>0.80555351823767496</v>
      </c>
      <c r="J836" s="2">
        <f t="shared" si="362"/>
        <v>1.0000236591753824</v>
      </c>
      <c r="K836" s="2">
        <f t="shared" si="362"/>
        <v>0.93377796810270008</v>
      </c>
      <c r="L836" s="2">
        <f t="shared" si="362"/>
        <v>0.81468950881185964</v>
      </c>
      <c r="M836" s="2">
        <f t="shared" si="362"/>
        <v>0.91593894986384139</v>
      </c>
      <c r="N836" s="2">
        <f t="shared" si="362"/>
        <v>0.93255952057047009</v>
      </c>
      <c r="O836" s="2">
        <f t="shared" si="362"/>
        <v>0.95236225036612632</v>
      </c>
      <c r="P836" s="2">
        <f t="shared" si="362"/>
        <v>0.95555623904284481</v>
      </c>
      <c r="Q836" s="2">
        <f t="shared" si="362"/>
        <v>0.85349055644014615</v>
      </c>
      <c r="R836" s="2">
        <f t="shared" si="362"/>
        <v>0.85029656776342766</v>
      </c>
    </row>
    <row r="837" spans="1:18">
      <c r="A837" s="4" t="s">
        <v>8</v>
      </c>
      <c r="B837" s="2">
        <f>(B831-30.404)/(104.94-30.404)</f>
        <v>0.86187292046796182</v>
      </c>
      <c r="C837" s="2">
        <f t="shared" ref="C837:R837" si="363">(C831-30.404)/(104.94-30.404)</f>
        <v>0.87763590748094877</v>
      </c>
      <c r="D837" s="2">
        <f t="shared" si="363"/>
        <v>0.92119995706772562</v>
      </c>
      <c r="E837" s="2">
        <f t="shared" si="363"/>
        <v>0.98135987978963191</v>
      </c>
      <c r="F837" s="2">
        <f t="shared" si="363"/>
        <v>0.99999584093592364</v>
      </c>
      <c r="G837" s="2">
        <f t="shared" si="363"/>
        <v>0.78136081893313314</v>
      </c>
      <c r="H837" s="2">
        <f t="shared" si="363"/>
        <v>0.57231190297306012</v>
      </c>
      <c r="I837" s="2">
        <f t="shared" si="363"/>
        <v>0.89962783084683906</v>
      </c>
      <c r="J837" s="2">
        <f t="shared" si="363"/>
        <v>0.86533970162069329</v>
      </c>
      <c r="K837" s="2">
        <f t="shared" si="363"/>
        <v>0.9425376999034023</v>
      </c>
      <c r="L837" s="2">
        <f t="shared" si="363"/>
        <v>0.71505997102071495</v>
      </c>
      <c r="M837" s="2">
        <f t="shared" si="363"/>
        <v>0.89593632607062357</v>
      </c>
      <c r="N837" s="2">
        <f t="shared" si="363"/>
        <v>0.81647700440055815</v>
      </c>
      <c r="O837" s="2">
        <f t="shared" si="363"/>
        <v>0.73505956853064303</v>
      </c>
      <c r="P837" s="2">
        <f t="shared" si="363"/>
        <v>0.86261430718042298</v>
      </c>
      <c r="Q837" s="2">
        <f t="shared" si="363"/>
        <v>0.71645969732746595</v>
      </c>
      <c r="R837" s="2">
        <f t="shared" si="363"/>
        <v>0.86278080390683709</v>
      </c>
    </row>
    <row r="838" spans="1:18">
      <c r="A838" s="3" t="s">
        <v>75</v>
      </c>
      <c r="B838" s="2">
        <f>(B832+B833+B834+B835+B836+B837)/6</f>
        <v>0.67633207208544077</v>
      </c>
      <c r="C838" s="2">
        <f t="shared" ref="C838:R838" si="364">(C832+C833+C834+C835+C836+C837)/6</f>
        <v>0.77199827983158642</v>
      </c>
      <c r="D838" s="2">
        <f t="shared" si="364"/>
        <v>0.72658454923911442</v>
      </c>
      <c r="E838" s="2">
        <f t="shared" si="364"/>
        <v>0.70952646927741825</v>
      </c>
      <c r="F838" s="2">
        <f t="shared" si="364"/>
        <v>0.68092794787160615</v>
      </c>
      <c r="G838" s="2">
        <f t="shared" si="364"/>
        <v>0.62708800971537582</v>
      </c>
      <c r="H838" s="2">
        <f t="shared" si="364"/>
        <v>0.61096066971918761</v>
      </c>
      <c r="I838" s="2">
        <f t="shared" si="364"/>
        <v>0.68583068325258001</v>
      </c>
      <c r="J838" s="2">
        <f t="shared" si="364"/>
        <v>0.69605567048832662</v>
      </c>
      <c r="K838" s="2">
        <f t="shared" si="364"/>
        <v>0.81505264077707851</v>
      </c>
      <c r="L838" s="2">
        <f t="shared" si="364"/>
        <v>0.63114175286921992</v>
      </c>
      <c r="M838" s="2">
        <f t="shared" si="364"/>
        <v>0.84252807999166002</v>
      </c>
      <c r="N838" s="2">
        <f t="shared" si="364"/>
        <v>0.6069759421176476</v>
      </c>
      <c r="O838" s="2">
        <f t="shared" si="364"/>
        <v>0.67524120759086514</v>
      </c>
      <c r="P838" s="2">
        <f t="shared" si="364"/>
        <v>0.80987936586964604</v>
      </c>
      <c r="Q838" s="2">
        <f t="shared" si="364"/>
        <v>0.59885161069682402</v>
      </c>
      <c r="R838" s="2">
        <f t="shared" si="364"/>
        <v>0.65689999799901511</v>
      </c>
    </row>
    <row r="840" spans="1:18">
      <c r="A840" s="1" t="s">
        <v>9</v>
      </c>
      <c r="B840" s="2" t="s">
        <v>10</v>
      </c>
      <c r="C840" s="2" t="s">
        <v>11</v>
      </c>
      <c r="D840" s="2" t="s">
        <v>12</v>
      </c>
      <c r="E840" s="2" t="s">
        <v>13</v>
      </c>
      <c r="F840" s="2" t="s">
        <v>14</v>
      </c>
      <c r="G840" s="2" t="s">
        <v>15</v>
      </c>
      <c r="H840" s="2" t="s">
        <v>16</v>
      </c>
      <c r="I840" s="2" t="s">
        <v>17</v>
      </c>
      <c r="J840" s="2" t="s">
        <v>18</v>
      </c>
      <c r="K840" s="2" t="s">
        <v>19</v>
      </c>
      <c r="L840" s="2" t="s">
        <v>20</v>
      </c>
      <c r="M840" s="2" t="s">
        <v>21</v>
      </c>
      <c r="N840" s="2" t="s">
        <v>22</v>
      </c>
      <c r="O840" s="2" t="s">
        <v>23</v>
      </c>
      <c r="P840" s="2" t="s">
        <v>24</v>
      </c>
      <c r="Q840" s="2" t="s">
        <v>25</v>
      </c>
      <c r="R840" s="2" t="s">
        <v>26</v>
      </c>
    </row>
    <row r="841" spans="1:18">
      <c r="B841" s="3">
        <v>2011</v>
      </c>
      <c r="C841" s="3">
        <v>2011</v>
      </c>
      <c r="D841" s="3">
        <v>2011</v>
      </c>
      <c r="E841" s="3">
        <v>2011</v>
      </c>
      <c r="F841" s="3">
        <v>2011</v>
      </c>
      <c r="G841" s="3">
        <v>2011</v>
      </c>
      <c r="H841" s="3">
        <v>2011</v>
      </c>
      <c r="I841" s="3">
        <v>2011</v>
      </c>
      <c r="J841" s="3">
        <v>2011</v>
      </c>
      <c r="K841" s="3">
        <v>2011</v>
      </c>
      <c r="L841" s="3">
        <v>2011</v>
      </c>
      <c r="M841" s="3">
        <v>2011</v>
      </c>
      <c r="N841" s="3">
        <v>2011</v>
      </c>
      <c r="O841" s="3">
        <v>2011</v>
      </c>
      <c r="P841" s="3">
        <v>2011</v>
      </c>
      <c r="Q841" s="3">
        <v>2011</v>
      </c>
      <c r="R841" s="3">
        <v>2011</v>
      </c>
    </row>
    <row r="842" spans="1:18">
      <c r="A842" s="1" t="s">
        <v>0</v>
      </c>
      <c r="B842" s="3">
        <v>11380.9148358238</v>
      </c>
      <c r="C842" s="3">
        <v>12009.314154819018</v>
      </c>
      <c r="D842" s="3">
        <v>15149.127374833075</v>
      </c>
      <c r="E842" s="3">
        <v>7417.8877265729661</v>
      </c>
      <c r="F842" s="3">
        <v>8889.7399976910019</v>
      </c>
      <c r="G842" s="3">
        <v>10762.696017011367</v>
      </c>
      <c r="H842" s="3">
        <v>3277.0133434576242</v>
      </c>
      <c r="I842" s="3">
        <v>4071.646052172413</v>
      </c>
      <c r="J842" s="3">
        <v>14265.314147218358</v>
      </c>
      <c r="K842" s="3">
        <v>12747.307730411123</v>
      </c>
      <c r="L842" s="3">
        <v>8981.5685851276103</v>
      </c>
      <c r="M842" s="3">
        <v>3620.4584041291455</v>
      </c>
      <c r="N842" s="3">
        <v>7972.4417734612744</v>
      </c>
      <c r="O842" s="3">
        <v>8227.4450105932774</v>
      </c>
      <c r="P842" s="3">
        <v>13608.952079821183</v>
      </c>
      <c r="Q842" s="3">
        <v>13344.399907681836</v>
      </c>
      <c r="R842" s="3">
        <v>11173.006304569109</v>
      </c>
    </row>
    <row r="843" spans="1:18">
      <c r="A843" s="1" t="s">
        <v>1</v>
      </c>
      <c r="B843">
        <v>28412</v>
      </c>
      <c r="C843">
        <v>19676</v>
      </c>
      <c r="D843">
        <v>32386</v>
      </c>
      <c r="E843">
        <v>14203</v>
      </c>
      <c r="F843">
        <v>17536</v>
      </c>
      <c r="G843">
        <v>18338</v>
      </c>
      <c r="H843">
        <v>8875</v>
      </c>
      <c r="I843">
        <v>11002</v>
      </c>
      <c r="J843">
        <v>24226</v>
      </c>
      <c r="K843">
        <v>20125</v>
      </c>
      <c r="L843">
        <v>16148</v>
      </c>
      <c r="M843">
        <v>8457</v>
      </c>
      <c r="N843">
        <v>15988</v>
      </c>
      <c r="O843">
        <v>17033</v>
      </c>
      <c r="P843">
        <v>28214</v>
      </c>
      <c r="Q843">
        <v>25801</v>
      </c>
      <c r="R843">
        <v>29299</v>
      </c>
    </row>
    <row r="844" spans="1:18">
      <c r="A844" s="1" t="s">
        <v>2</v>
      </c>
      <c r="B844">
        <v>24.866968663038651</v>
      </c>
      <c r="C844">
        <v>22.062782213597426</v>
      </c>
      <c r="D844">
        <v>26.759994377275202</v>
      </c>
      <c r="E844">
        <v>50.748944403809737</v>
      </c>
      <c r="F844">
        <v>22.883939415876387</v>
      </c>
      <c r="G844">
        <v>16.70366043357517</v>
      </c>
      <c r="H844">
        <v>28.998682753402704</v>
      </c>
      <c r="I844">
        <v>34.404808356676334</v>
      </c>
      <c r="J844">
        <v>39.70015433232895</v>
      </c>
      <c r="K844">
        <v>21.153683597866308</v>
      </c>
      <c r="L844">
        <v>31.366131574783413</v>
      </c>
      <c r="M844">
        <v>16.81233393689644</v>
      </c>
      <c r="N844">
        <v>31.16304783221921</v>
      </c>
      <c r="O844">
        <v>16.844540858114179</v>
      </c>
      <c r="P844">
        <v>14.885354449985641</v>
      </c>
      <c r="Q844">
        <v>18.887166915713227</v>
      </c>
      <c r="R844">
        <v>33.320304700863737</v>
      </c>
    </row>
    <row r="845" spans="1:18">
      <c r="A845" s="1" t="s">
        <v>3</v>
      </c>
      <c r="B845">
        <v>41.354878681499578</v>
      </c>
      <c r="C845">
        <v>132.27417471795565</v>
      </c>
      <c r="D845">
        <v>72.711591881115282</v>
      </c>
      <c r="E845">
        <v>54.58737420165545</v>
      </c>
      <c r="F845">
        <v>38.723164659797469</v>
      </c>
      <c r="G845">
        <v>79.764129232458757</v>
      </c>
      <c r="H845">
        <v>54.218717218747017</v>
      </c>
      <c r="I845">
        <v>51.286590461871995</v>
      </c>
      <c r="J845">
        <v>166.78621297861395</v>
      </c>
      <c r="K845">
        <v>64.294822156561722</v>
      </c>
      <c r="L845">
        <v>52.839523855285044</v>
      </c>
      <c r="M845">
        <v>67.58604940774427</v>
      </c>
      <c r="N845">
        <v>149.3504921284682</v>
      </c>
      <c r="O845">
        <v>104.70326909783319</v>
      </c>
      <c r="P845">
        <v>56.624104166452284</v>
      </c>
      <c r="Q845">
        <v>54.951378209126425</v>
      </c>
      <c r="R845">
        <v>49.638121596799515</v>
      </c>
    </row>
    <row r="846" spans="1:18">
      <c r="A846" s="6" t="s">
        <v>27</v>
      </c>
      <c r="B846" s="5">
        <v>75.838609756097568</v>
      </c>
      <c r="C846" s="3">
        <v>74.163414634146349</v>
      </c>
      <c r="D846" s="3">
        <v>79.306512195121954</v>
      </c>
      <c r="E846" s="3">
        <v>75.042000000000002</v>
      </c>
      <c r="F846" s="3">
        <v>73.573853658536592</v>
      </c>
      <c r="G846" s="3">
        <v>79.489560975609763</v>
      </c>
      <c r="H846" s="3">
        <v>65.958487804878061</v>
      </c>
      <c r="I846" s="3">
        <v>70.391560975609764</v>
      </c>
      <c r="J846" s="3">
        <v>74.668390243902451</v>
      </c>
      <c r="K846" s="3">
        <v>76.91417073170733</v>
      </c>
      <c r="L846" s="3">
        <v>74.210536585365858</v>
      </c>
      <c r="M846" s="3">
        <v>68.391487804878054</v>
      </c>
      <c r="N846" s="3">
        <v>74.008902439024396</v>
      </c>
      <c r="O846" s="3">
        <v>74.753658536585377</v>
      </c>
      <c r="P846" s="3">
        <v>74.540487804878055</v>
      </c>
      <c r="Q846" s="3">
        <v>76.764268292682928</v>
      </c>
      <c r="R846" s="3">
        <v>74.330975609756109</v>
      </c>
    </row>
    <row r="847" spans="1:18">
      <c r="A847" s="6" t="s">
        <v>48</v>
      </c>
      <c r="B847" s="5">
        <v>88.673000000000002</v>
      </c>
      <c r="C847" s="3">
        <v>93.232159999999993</v>
      </c>
      <c r="D847" s="3">
        <v>89.865359999999995</v>
      </c>
      <c r="E847" s="3">
        <v>86.612200000000001</v>
      </c>
      <c r="F847" s="3">
        <v>97.062569999999994</v>
      </c>
      <c r="G847" s="3">
        <v>99.945999999999998</v>
      </c>
      <c r="H847" s="3">
        <v>68.509780000000006</v>
      </c>
      <c r="I847" s="3">
        <v>81.162729999999996</v>
      </c>
      <c r="J847" s="3">
        <v>77.213999999999999</v>
      </c>
      <c r="K847" s="3">
        <v>84.051329999999993</v>
      </c>
      <c r="L847" s="3">
        <v>90.685580000000002</v>
      </c>
      <c r="M847" s="12">
        <v>85.847999999999999</v>
      </c>
      <c r="N847" s="3">
        <v>87.373519999999999</v>
      </c>
      <c r="O847" s="3">
        <v>91.086269999999999</v>
      </c>
      <c r="P847" s="3">
        <v>88.850719999999995</v>
      </c>
      <c r="Q847" s="3">
        <v>90.457999999999998</v>
      </c>
      <c r="R847" s="3">
        <v>83.238770000000002</v>
      </c>
    </row>
    <row r="848" spans="1:18">
      <c r="A848" s="3" t="s">
        <v>4</v>
      </c>
      <c r="B848" s="2">
        <f>(B842-3277.013)/(46733.36-3277.013)</f>
        <v>0.18648373356885703</v>
      </c>
      <c r="C848" s="2">
        <f t="shared" ref="C848:R848" si="365">(C842-3277.013)/(46733.36-3277.013)</f>
        <v>0.20094420625873174</v>
      </c>
      <c r="D848" s="2">
        <f t="shared" si="365"/>
        <v>0.27319632676057826</v>
      </c>
      <c r="E848" s="2">
        <f t="shared" si="365"/>
        <v>9.5288145747109532E-2</v>
      </c>
      <c r="F848" s="2">
        <f t="shared" si="365"/>
        <v>0.12915781894163819</v>
      </c>
      <c r="G848" s="2">
        <f t="shared" si="365"/>
        <v>0.17225753045950612</v>
      </c>
      <c r="H848" s="2">
        <f t="shared" si="365"/>
        <v>7.9035088761560637E-9</v>
      </c>
      <c r="I848" s="2">
        <f t="shared" si="365"/>
        <v>1.8285776578790967E-2</v>
      </c>
      <c r="J848" s="2">
        <f t="shared" si="365"/>
        <v>0.25285837180972337</v>
      </c>
      <c r="K848" s="2">
        <f t="shared" si="365"/>
        <v>0.21792661795551113</v>
      </c>
      <c r="L848" s="2">
        <f t="shared" si="365"/>
        <v>0.13127094150660226</v>
      </c>
      <c r="M848" s="2">
        <f t="shared" si="365"/>
        <v>7.9032276718783E-3</v>
      </c>
      <c r="N848" s="2">
        <f t="shared" si="365"/>
        <v>0.10804932070017929</v>
      </c>
      <c r="O848" s="2">
        <f t="shared" si="365"/>
        <v>0.11391735275386303</v>
      </c>
      <c r="P848" s="2">
        <f t="shared" si="365"/>
        <v>0.23775443158674112</v>
      </c>
      <c r="Q848" s="2">
        <f t="shared" si="365"/>
        <v>0.23166666327664029</v>
      </c>
      <c r="R848" s="2">
        <f t="shared" si="365"/>
        <v>0.18169942596806651</v>
      </c>
    </row>
    <row r="849" spans="1:18">
      <c r="A849" s="3" t="s">
        <v>5</v>
      </c>
      <c r="B849" s="2">
        <f>(B843-8457)/(68039-8457)</f>
        <v>0.33491658554597026</v>
      </c>
      <c r="C849" s="2">
        <f t="shared" ref="C849:R849" si="366">(C843-8457)/(68039-8457)</f>
        <v>0.18829512268806015</v>
      </c>
      <c r="D849" s="2">
        <f t="shared" si="366"/>
        <v>0.40161458158504248</v>
      </c>
      <c r="E849" s="2">
        <f t="shared" si="366"/>
        <v>9.6438521701184915E-2</v>
      </c>
      <c r="F849" s="2">
        <f t="shared" si="366"/>
        <v>0.15237823503742742</v>
      </c>
      <c r="G849" s="2">
        <f t="shared" si="366"/>
        <v>0.16583867611023465</v>
      </c>
      <c r="H849" s="2">
        <f t="shared" si="366"/>
        <v>7.0155416065254611E-3</v>
      </c>
      <c r="I849" s="2">
        <f t="shared" si="366"/>
        <v>4.2714242556476788E-2</v>
      </c>
      <c r="J849" s="2">
        <f t="shared" si="366"/>
        <v>0.26466046792655501</v>
      </c>
      <c r="K849" s="2">
        <f t="shared" si="366"/>
        <v>0.195830955657749</v>
      </c>
      <c r="L849" s="2">
        <f t="shared" si="366"/>
        <v>0.12908260884159645</v>
      </c>
      <c r="M849" s="2">
        <f t="shared" si="366"/>
        <v>0</v>
      </c>
      <c r="N849" s="2">
        <f t="shared" si="366"/>
        <v>0.12639723406397904</v>
      </c>
      <c r="O849" s="2">
        <f t="shared" si="366"/>
        <v>0.14393608808029271</v>
      </c>
      <c r="P849" s="2">
        <f t="shared" si="366"/>
        <v>0.33159343425866872</v>
      </c>
      <c r="Q849" s="2">
        <f t="shared" si="366"/>
        <v>0.29109462589372631</v>
      </c>
      <c r="R849" s="2">
        <f t="shared" si="366"/>
        <v>0.34980363196938674</v>
      </c>
    </row>
    <row r="850" spans="1:18">
      <c r="A850" s="3" t="s">
        <v>6</v>
      </c>
      <c r="B850" s="2">
        <f>(B844-13.496)/(50.748-13.496)</f>
        <v>0.30524451473850134</v>
      </c>
      <c r="C850" s="2">
        <f t="shared" ref="C850:R850" si="367">(C844-13.496)/(50.748-13.496)</f>
        <v>0.2299683832706278</v>
      </c>
      <c r="D850" s="2">
        <f t="shared" si="367"/>
        <v>0.35606126858357146</v>
      </c>
      <c r="E850" s="2">
        <f t="shared" si="367"/>
        <v>1.0000253517612407</v>
      </c>
      <c r="F850" s="2">
        <f t="shared" si="367"/>
        <v>0.25201168838925125</v>
      </c>
      <c r="G850" s="2">
        <f t="shared" si="367"/>
        <v>8.6107066293760595E-2</v>
      </c>
      <c r="H850" s="2">
        <f t="shared" si="367"/>
        <v>0.41615705877275599</v>
      </c>
      <c r="I850" s="2">
        <f t="shared" si="367"/>
        <v>0.5612801556071173</v>
      </c>
      <c r="J850" s="2">
        <f t="shared" si="367"/>
        <v>0.7034294623732672</v>
      </c>
      <c r="K850" s="2">
        <f t="shared" si="367"/>
        <v>0.20556436158773514</v>
      </c>
      <c r="L850" s="2">
        <f t="shared" si="367"/>
        <v>0.47970931962803115</v>
      </c>
      <c r="M850" s="2">
        <f t="shared" si="367"/>
        <v>8.9024319147869652E-2</v>
      </c>
      <c r="N850" s="2">
        <f t="shared" si="367"/>
        <v>0.47425769978039334</v>
      </c>
      <c r="O850" s="2">
        <f t="shared" si="367"/>
        <v>8.9888888062766542E-2</v>
      </c>
      <c r="P850" s="2">
        <f t="shared" si="367"/>
        <v>3.7296103564523807E-2</v>
      </c>
      <c r="Q850" s="2">
        <f t="shared" si="367"/>
        <v>0.14472154288932748</v>
      </c>
      <c r="R850" s="2">
        <f t="shared" si="367"/>
        <v>0.53216752659894062</v>
      </c>
    </row>
    <row r="851" spans="1:18">
      <c r="A851" s="3" t="s">
        <v>3</v>
      </c>
      <c r="B851" s="2">
        <f>(B845-30.713)/(183.766-30.713)</f>
        <v>6.9530676834165792E-2</v>
      </c>
      <c r="C851" s="2">
        <f t="shared" ref="C851:R851" si="368">(C845-30.713)/(183.766-30.713)</f>
        <v>0.66356866391351788</v>
      </c>
      <c r="D851" s="2">
        <f t="shared" si="368"/>
        <v>0.27440554501457198</v>
      </c>
      <c r="E851" s="2">
        <f t="shared" si="368"/>
        <v>0.15598762651928058</v>
      </c>
      <c r="F851" s="2">
        <f t="shared" si="368"/>
        <v>5.2335887959056457E-2</v>
      </c>
      <c r="G851" s="2">
        <f t="shared" si="368"/>
        <v>0.32048459835781562</v>
      </c>
      <c r="H851" s="2">
        <f t="shared" si="368"/>
        <v>0.1535789381374231</v>
      </c>
      <c r="I851" s="2">
        <f t="shared" si="368"/>
        <v>0.13442134725795635</v>
      </c>
      <c r="J851" s="2">
        <f t="shared" si="368"/>
        <v>0.88905943025366352</v>
      </c>
      <c r="K851" s="2">
        <f t="shared" si="368"/>
        <v>0.21941302788290148</v>
      </c>
      <c r="L851" s="2">
        <f t="shared" si="368"/>
        <v>0.14456772396022974</v>
      </c>
      <c r="M851" s="2">
        <f t="shared" si="368"/>
        <v>0.24091686806363985</v>
      </c>
      <c r="N851" s="2">
        <f t="shared" si="368"/>
        <v>0.77513993275837922</v>
      </c>
      <c r="O851" s="2">
        <f t="shared" si="368"/>
        <v>0.48342906769441429</v>
      </c>
      <c r="P851" s="2">
        <f t="shared" si="368"/>
        <v>0.16929497733760385</v>
      </c>
      <c r="Q851" s="2">
        <f t="shared" si="368"/>
        <v>0.15836591382806234</v>
      </c>
      <c r="R851" s="2">
        <f t="shared" si="368"/>
        <v>0.12365077193390207</v>
      </c>
    </row>
    <row r="852" spans="1:18">
      <c r="A852" s="3" t="s">
        <v>7</v>
      </c>
      <c r="B852" s="2">
        <f>(B846-65.958)/(82.695-65.958)</f>
        <v>0.5903453280813511</v>
      </c>
      <c r="C852" s="2">
        <f t="shared" ref="C852:R852" si="369">(C846-65.958)/(82.695-65.958)</f>
        <v>0.49025599773832546</v>
      </c>
      <c r="D852" s="2">
        <f t="shared" si="369"/>
        <v>0.79754509142151875</v>
      </c>
      <c r="E852" s="2">
        <f t="shared" si="369"/>
        <v>0.54274959670191825</v>
      </c>
      <c r="F852" s="2">
        <f t="shared" si="369"/>
        <v>0.45503098873971415</v>
      </c>
      <c r="G852" s="2">
        <f t="shared" si="369"/>
        <v>0.80848186506600761</v>
      </c>
      <c r="H852" s="2">
        <f t="shared" si="369"/>
        <v>2.9145299519779401E-5</v>
      </c>
      <c r="I852" s="2">
        <f t="shared" si="369"/>
        <v>0.2648957982678955</v>
      </c>
      <c r="J852" s="2">
        <f t="shared" si="369"/>
        <v>0.52042721180034979</v>
      </c>
      <c r="K852" s="2">
        <f t="shared" si="369"/>
        <v>0.65460779899069932</v>
      </c>
      <c r="L852" s="2">
        <f t="shared" si="369"/>
        <v>0.49307143367185652</v>
      </c>
      <c r="M852" s="2">
        <f t="shared" si="369"/>
        <v>0.14539569844524444</v>
      </c>
      <c r="N852" s="2">
        <f t="shared" si="369"/>
        <v>0.48102422411569579</v>
      </c>
      <c r="O852" s="2">
        <f t="shared" si="369"/>
        <v>0.52552181015626342</v>
      </c>
      <c r="P852" s="2">
        <f t="shared" si="369"/>
        <v>0.512785314266479</v>
      </c>
      <c r="Q852" s="2">
        <f t="shared" si="369"/>
        <v>0.64565144844852318</v>
      </c>
      <c r="R852" s="2">
        <f t="shared" si="369"/>
        <v>0.50026740812308734</v>
      </c>
    </row>
    <row r="853" spans="1:18">
      <c r="A853" s="4" t="s">
        <v>8</v>
      </c>
      <c r="B853" s="2">
        <f>(B847-68.509)/(133.045-68.509)</f>
        <v>0.31244576670385532</v>
      </c>
      <c r="C853" s="2">
        <f t="shared" ref="C853:R853" si="370">(C847-68.509)/(133.045-68.509)</f>
        <v>0.38309098797570346</v>
      </c>
      <c r="D853" s="2">
        <f t="shared" si="370"/>
        <v>0.33092165612991198</v>
      </c>
      <c r="E853" s="2">
        <f t="shared" si="370"/>
        <v>0.28051320193380447</v>
      </c>
      <c r="F853" s="2">
        <f t="shared" si="370"/>
        <v>0.44244406222883348</v>
      </c>
      <c r="G853" s="2">
        <f t="shared" si="370"/>
        <v>0.48712346597248052</v>
      </c>
      <c r="H853" s="2">
        <f t="shared" si="370"/>
        <v>1.2086277426645566E-5</v>
      </c>
      <c r="I853" s="2">
        <f t="shared" si="370"/>
        <v>0.19607242469319447</v>
      </c>
      <c r="J853" s="2">
        <f t="shared" si="370"/>
        <v>0.13488595512582124</v>
      </c>
      <c r="K853" s="2">
        <f t="shared" si="370"/>
        <v>0.24083193876286096</v>
      </c>
      <c r="L853" s="2">
        <f t="shared" si="370"/>
        <v>0.34363115160530566</v>
      </c>
      <c r="M853" s="2">
        <f t="shared" si="370"/>
        <v>0.26867174910127684</v>
      </c>
      <c r="N853" s="2">
        <f t="shared" si="370"/>
        <v>0.29231002851121857</v>
      </c>
      <c r="O853" s="2">
        <f t="shared" si="370"/>
        <v>0.34983993430023558</v>
      </c>
      <c r="P853" s="2">
        <f t="shared" si="370"/>
        <v>0.31519957852981279</v>
      </c>
      <c r="Q853" s="2">
        <f t="shared" si="370"/>
        <v>0.34010474773769683</v>
      </c>
      <c r="R853" s="2">
        <f t="shared" si="370"/>
        <v>0.22824113672988727</v>
      </c>
    </row>
    <row r="854" spans="1:18">
      <c r="A854" s="3" t="s">
        <v>77</v>
      </c>
      <c r="B854" s="2">
        <f>(B848+B849+B850+B851+B852+B853)/6</f>
        <v>0.29982776757878349</v>
      </c>
      <c r="C854" s="2">
        <f t="shared" ref="C854:R854" si="371">(C848+C849+C850+C851+C852+C853)/6</f>
        <v>0.35935389364082776</v>
      </c>
      <c r="D854" s="2">
        <f t="shared" si="371"/>
        <v>0.4056240782491991</v>
      </c>
      <c r="E854" s="2">
        <f t="shared" si="371"/>
        <v>0.36183374072742308</v>
      </c>
      <c r="F854" s="2">
        <f t="shared" si="371"/>
        <v>0.24722644688265347</v>
      </c>
      <c r="G854" s="2">
        <f t="shared" si="371"/>
        <v>0.34004886704330084</v>
      </c>
      <c r="H854" s="2">
        <f t="shared" si="371"/>
        <v>9.6132129666193319E-2</v>
      </c>
      <c r="I854" s="2">
        <f t="shared" si="371"/>
        <v>0.20294495749357189</v>
      </c>
      <c r="J854" s="2">
        <f t="shared" si="371"/>
        <v>0.46088681654823005</v>
      </c>
      <c r="K854" s="2">
        <f t="shared" si="371"/>
        <v>0.28902911680624283</v>
      </c>
      <c r="L854" s="2">
        <f t="shared" si="371"/>
        <v>0.28688886320227031</v>
      </c>
      <c r="M854" s="2">
        <f t="shared" si="371"/>
        <v>0.12531864373831816</v>
      </c>
      <c r="N854" s="2">
        <f t="shared" si="371"/>
        <v>0.37619640665497417</v>
      </c>
      <c r="O854" s="2">
        <f t="shared" si="371"/>
        <v>0.28442219017463927</v>
      </c>
      <c r="P854" s="2">
        <f t="shared" si="371"/>
        <v>0.26732063992397154</v>
      </c>
      <c r="Q854" s="2">
        <f t="shared" si="371"/>
        <v>0.3019341570123294</v>
      </c>
      <c r="R854" s="2">
        <f t="shared" si="371"/>
        <v>0.31930498355387843</v>
      </c>
    </row>
    <row r="856" spans="1:18">
      <c r="A856" s="1" t="s">
        <v>9</v>
      </c>
      <c r="B856" s="2" t="s">
        <v>28</v>
      </c>
      <c r="C856" s="2" t="s">
        <v>29</v>
      </c>
      <c r="D856" s="2" t="s">
        <v>30</v>
      </c>
      <c r="E856" s="2" t="s">
        <v>31</v>
      </c>
      <c r="F856" s="2" t="s">
        <v>32</v>
      </c>
      <c r="G856" s="2" t="s">
        <v>33</v>
      </c>
      <c r="H856" s="2" t="s">
        <v>34</v>
      </c>
      <c r="I856" s="2" t="s">
        <v>35</v>
      </c>
      <c r="J856" s="2" t="s">
        <v>36</v>
      </c>
      <c r="K856" s="2" t="s">
        <v>37</v>
      </c>
      <c r="L856" s="2" t="s">
        <v>38</v>
      </c>
      <c r="M856" s="2" t="s">
        <v>39</v>
      </c>
      <c r="N856" s="2" t="s">
        <v>40</v>
      </c>
      <c r="O856" s="2" t="s">
        <v>41</v>
      </c>
      <c r="P856" s="2" t="s">
        <v>42</v>
      </c>
      <c r="Q856" s="2" t="s">
        <v>43</v>
      </c>
      <c r="R856" s="2" t="s">
        <v>44</v>
      </c>
    </row>
    <row r="857" spans="1:18">
      <c r="B857" s="3">
        <v>2011</v>
      </c>
      <c r="C857" s="3">
        <v>2011</v>
      </c>
      <c r="D857" s="3">
        <v>2011</v>
      </c>
      <c r="E857" s="3">
        <v>2011</v>
      </c>
      <c r="F857" s="3">
        <v>2011</v>
      </c>
      <c r="G857" s="3">
        <v>2011</v>
      </c>
      <c r="H857" s="3">
        <v>2011</v>
      </c>
      <c r="I857" s="3">
        <v>2011</v>
      </c>
      <c r="J857" s="3">
        <v>2011</v>
      </c>
      <c r="K857" s="3">
        <v>2011</v>
      </c>
      <c r="L857" s="3">
        <v>2011</v>
      </c>
      <c r="M857" s="3">
        <v>2011</v>
      </c>
      <c r="N857" s="3">
        <v>2011</v>
      </c>
      <c r="O857" s="3">
        <v>2011</v>
      </c>
      <c r="P857" s="3">
        <v>2011</v>
      </c>
      <c r="Q857" s="3">
        <v>2011</v>
      </c>
      <c r="R857" s="3">
        <v>2011</v>
      </c>
    </row>
    <row r="858" spans="1:18">
      <c r="A858" s="1" t="s">
        <v>0</v>
      </c>
      <c r="B858" s="3">
        <v>35052.51317643631</v>
      </c>
      <c r="C858" s="3">
        <v>32963.039855411451</v>
      </c>
      <c r="D858" s="3">
        <v>35738.703659545354</v>
      </c>
      <c r="E858" s="3">
        <v>32601.660307884635</v>
      </c>
      <c r="F858" s="3">
        <v>32026.929361435981</v>
      </c>
      <c r="G858" s="3">
        <v>29963.223616817766</v>
      </c>
      <c r="H858" s="3">
        <v>27080.645890679007</v>
      </c>
      <c r="I858" s="3">
        <v>36477.458156380766</v>
      </c>
      <c r="J858" s="3">
        <v>30764.235566049098</v>
      </c>
      <c r="K858" s="3">
        <v>37063.466009512988</v>
      </c>
      <c r="L858" s="3">
        <v>25270.140742791962</v>
      </c>
      <c r="M858" s="3">
        <v>46733.360745916121</v>
      </c>
      <c r="N858" s="3">
        <v>26861.160437287504</v>
      </c>
      <c r="O858" s="3">
        <v>34861.849497984469</v>
      </c>
      <c r="P858" s="3">
        <v>39301.116995909884</v>
      </c>
      <c r="Q858" s="3">
        <v>32877.535263926962</v>
      </c>
      <c r="R858" s="3">
        <v>44439.409100380544</v>
      </c>
    </row>
    <row r="859" spans="1:18">
      <c r="A859" s="1" t="s">
        <v>1</v>
      </c>
      <c r="B859" s="3">
        <v>49366</v>
      </c>
      <c r="C859" s="3">
        <v>54989</v>
      </c>
      <c r="D859" s="3">
        <v>49635</v>
      </c>
      <c r="E859" s="3">
        <v>46941</v>
      </c>
      <c r="F859" s="3">
        <v>50089</v>
      </c>
      <c r="G859" s="3">
        <v>52668</v>
      </c>
      <c r="H859" s="3">
        <v>45727</v>
      </c>
      <c r="I859" s="3">
        <v>61929</v>
      </c>
      <c r="J859" s="3">
        <v>44628</v>
      </c>
      <c r="K859" s="3">
        <v>46798</v>
      </c>
      <c r="L859" s="3">
        <v>36201</v>
      </c>
      <c r="M859" s="3">
        <v>50322</v>
      </c>
      <c r="N859" s="3">
        <v>42312</v>
      </c>
      <c r="O859" s="3">
        <v>51857</v>
      </c>
      <c r="P859" s="3">
        <v>42021</v>
      </c>
      <c r="Q859" s="3">
        <v>49796</v>
      </c>
      <c r="R859" s="3">
        <v>68039</v>
      </c>
    </row>
    <row r="860" spans="1:18">
      <c r="A860" s="1" t="s">
        <v>2</v>
      </c>
      <c r="B860" s="3">
        <v>28.401239522247916</v>
      </c>
      <c r="C860" s="3">
        <v>22.833295870919869</v>
      </c>
      <c r="D860" s="3">
        <v>20.982255224541209</v>
      </c>
      <c r="E860" s="3">
        <v>22.822321628920278</v>
      </c>
      <c r="F860" s="3">
        <v>19.82891577759051</v>
      </c>
      <c r="G860" s="3">
        <v>17.795710442486492</v>
      </c>
      <c r="H860" s="3">
        <v>18.377944625927817</v>
      </c>
      <c r="I860" s="3">
        <v>32.82589363184222</v>
      </c>
      <c r="J860" s="3">
        <v>19.046171119485823</v>
      </c>
      <c r="K860" s="3">
        <v>26.701410740726523</v>
      </c>
      <c r="L860" s="3">
        <v>19.858247189488058</v>
      </c>
      <c r="M860" s="3">
        <v>37.362248146611428</v>
      </c>
      <c r="N860" s="3">
        <v>20.193113625090437</v>
      </c>
      <c r="O860" s="3">
        <v>25.432468439550952</v>
      </c>
      <c r="P860" s="3">
        <v>31.658371109577711</v>
      </c>
      <c r="Q860" s="3">
        <v>13.496519375875524</v>
      </c>
      <c r="R860" s="3">
        <v>14.78002806782629</v>
      </c>
    </row>
    <row r="861" spans="1:18">
      <c r="A861" s="1" t="s">
        <v>3</v>
      </c>
      <c r="B861" s="3">
        <v>40.758357853399978</v>
      </c>
      <c r="C861" s="3">
        <v>169.13846378828953</v>
      </c>
      <c r="D861" s="3">
        <v>61.974499023017472</v>
      </c>
      <c r="E861" s="3">
        <v>101.59579753036252</v>
      </c>
      <c r="F861" s="3">
        <v>82.67162747311572</v>
      </c>
      <c r="G861" s="3">
        <v>56.753977834414194</v>
      </c>
      <c r="H861" s="3">
        <v>59.049431334127547</v>
      </c>
      <c r="I861" s="3">
        <v>183.76644876013003</v>
      </c>
      <c r="J861" s="3">
        <v>31.205473933286758</v>
      </c>
      <c r="K861" s="3">
        <v>159.14644426898056</v>
      </c>
      <c r="L861" s="3">
        <v>59.625612289756283</v>
      </c>
      <c r="M861" s="3">
        <v>69.71064701597804</v>
      </c>
      <c r="N861" s="3">
        <v>62.736028029478355</v>
      </c>
      <c r="O861" s="3">
        <v>94.136231042110381</v>
      </c>
      <c r="P861" s="3">
        <v>92.124949735904906</v>
      </c>
      <c r="Q861" s="3">
        <v>65.651877728234794</v>
      </c>
      <c r="R861" s="3">
        <v>30.713669546408479</v>
      </c>
    </row>
    <row r="862" spans="1:18">
      <c r="A862" s="6" t="s">
        <v>27</v>
      </c>
      <c r="B862" s="3">
        <v>81.846341463414646</v>
      </c>
      <c r="C862" s="3">
        <v>80.48536585365855</v>
      </c>
      <c r="D862" s="3">
        <v>81.068317073170746</v>
      </c>
      <c r="E862" s="3">
        <v>79.800000000000011</v>
      </c>
      <c r="F862" s="3">
        <v>80.470731707317086</v>
      </c>
      <c r="G862" s="3">
        <v>81.668292682926847</v>
      </c>
      <c r="H862" s="3">
        <v>82.087804878048786</v>
      </c>
      <c r="I862" s="3">
        <v>80.495121951219517</v>
      </c>
      <c r="J862" s="3">
        <v>82.591219512195138</v>
      </c>
      <c r="K862" s="3">
        <v>81.2048780487805</v>
      </c>
      <c r="L862" s="3">
        <v>80.904878048780489</v>
      </c>
      <c r="M862" s="3">
        <v>81.2951219512195</v>
      </c>
      <c r="N862" s="3">
        <v>82.326829268292698</v>
      </c>
      <c r="O862" s="3">
        <v>81.802439024390253</v>
      </c>
      <c r="P862" s="3">
        <v>82.695121951219519</v>
      </c>
      <c r="Q862" s="3">
        <v>80.753658536585377</v>
      </c>
      <c r="R862" s="3">
        <v>78.641463414634146</v>
      </c>
    </row>
    <row r="863" spans="1:18">
      <c r="A863" s="6" t="s">
        <v>48</v>
      </c>
      <c r="B863" s="3">
        <v>133.04509999999999</v>
      </c>
      <c r="C863" s="3">
        <v>106.4623</v>
      </c>
      <c r="D863" s="3">
        <v>105.976</v>
      </c>
      <c r="E863" s="3">
        <v>113.965</v>
      </c>
      <c r="F863" s="3">
        <v>107.4782</v>
      </c>
      <c r="G863" s="3">
        <v>109.929</v>
      </c>
      <c r="H863" s="3">
        <v>100.6587</v>
      </c>
      <c r="I863" s="3">
        <v>117.75920000000001</v>
      </c>
      <c r="J863" s="3">
        <v>101.7654</v>
      </c>
      <c r="K863" s="3">
        <v>128.41820000000001</v>
      </c>
      <c r="L863" s="3">
        <v>119.79300000000001</v>
      </c>
      <c r="M863" s="3">
        <v>112.9829</v>
      </c>
      <c r="N863" s="3">
        <v>128.51480000000001</v>
      </c>
      <c r="O863" s="3">
        <v>96.91104</v>
      </c>
      <c r="P863" s="3">
        <v>96.187629999999999</v>
      </c>
      <c r="Q863" s="3">
        <v>97.377350000000007</v>
      </c>
      <c r="R863" s="3">
        <v>93.550169999999994</v>
      </c>
    </row>
    <row r="864" spans="1:18">
      <c r="A864" s="3" t="s">
        <v>4</v>
      </c>
      <c r="B864" s="2">
        <f t="shared" ref="B864:R864" si="372">(B858-3277.013)/(46733.36-3277.013)</f>
        <v>0.73120504529375907</v>
      </c>
      <c r="C864" s="2">
        <f t="shared" si="372"/>
        <v>0.68312292460780122</v>
      </c>
      <c r="D864" s="2">
        <f t="shared" si="372"/>
        <v>0.74699538503651386</v>
      </c>
      <c r="E864" s="2">
        <f t="shared" si="372"/>
        <v>0.67480700363251045</v>
      </c>
      <c r="F864" s="2">
        <f t="shared" si="372"/>
        <v>0.66158152597216657</v>
      </c>
      <c r="G864" s="2">
        <f t="shared" si="372"/>
        <v>0.61409235840319865</v>
      </c>
      <c r="H864" s="2">
        <f t="shared" si="372"/>
        <v>0.54775963775047654</v>
      </c>
      <c r="I864" s="2">
        <f t="shared" si="372"/>
        <v>0.76399530674726912</v>
      </c>
      <c r="J864" s="2">
        <f t="shared" si="372"/>
        <v>0.63252492359859647</v>
      </c>
      <c r="K864" s="2">
        <f t="shared" si="372"/>
        <v>0.77748028405408731</v>
      </c>
      <c r="L864" s="2">
        <f t="shared" si="372"/>
        <v>0.50609702059844008</v>
      </c>
      <c r="M864" s="2">
        <f t="shared" si="372"/>
        <v>1.0000000171647221</v>
      </c>
      <c r="N864" s="2">
        <f t="shared" si="372"/>
        <v>0.54270892666812298</v>
      </c>
      <c r="O864" s="2">
        <f t="shared" si="372"/>
        <v>0.72681756931811292</v>
      </c>
      <c r="P864" s="2">
        <f t="shared" si="372"/>
        <v>0.82897220965006291</v>
      </c>
      <c r="Q864" s="2">
        <f t="shared" si="372"/>
        <v>0.68115532729722916</v>
      </c>
      <c r="R864" s="2">
        <f t="shared" si="372"/>
        <v>0.94721252341759288</v>
      </c>
    </row>
    <row r="865" spans="1:18">
      <c r="A865" s="3" t="s">
        <v>5</v>
      </c>
      <c r="B865" s="2">
        <f>(B859-8457)/(68039-8457)</f>
        <v>0.68659997985968912</v>
      </c>
      <c r="C865" s="2">
        <f t="shared" ref="C865:R865" si="373">(C859-8457)/(68039-8457)</f>
        <v>0.78097411970058073</v>
      </c>
      <c r="D865" s="2">
        <f t="shared" si="373"/>
        <v>0.69111476620455847</v>
      </c>
      <c r="E865" s="2">
        <f t="shared" si="373"/>
        <v>0.64589976838642538</v>
      </c>
      <c r="F865" s="2">
        <f t="shared" si="373"/>
        <v>0.69873451713604784</v>
      </c>
      <c r="G865" s="2">
        <f t="shared" si="373"/>
        <v>0.74201940183276827</v>
      </c>
      <c r="H865" s="2">
        <f t="shared" si="373"/>
        <v>0.62552448726125343</v>
      </c>
      <c r="I865" s="2">
        <f t="shared" si="373"/>
        <v>0.89745225067973544</v>
      </c>
      <c r="J865" s="2">
        <f t="shared" si="373"/>
        <v>0.60707931925749392</v>
      </c>
      <c r="K865" s="2">
        <f t="shared" si="373"/>
        <v>0.64349971467892986</v>
      </c>
      <c r="L865" s="2">
        <f t="shared" si="373"/>
        <v>0.46564398643885735</v>
      </c>
      <c r="M865" s="2">
        <f t="shared" si="373"/>
        <v>0.70264509415595311</v>
      </c>
      <c r="N865" s="2">
        <f t="shared" si="373"/>
        <v>0.56820851935148198</v>
      </c>
      <c r="O865" s="2">
        <f t="shared" si="373"/>
        <v>0.72840790842872005</v>
      </c>
      <c r="P865" s="2">
        <f t="shared" si="373"/>
        <v>0.56332449397469031</v>
      </c>
      <c r="Q865" s="2">
        <f t="shared" si="373"/>
        <v>0.69381692457453592</v>
      </c>
      <c r="R865" s="2">
        <f t="shared" si="373"/>
        <v>1</v>
      </c>
    </row>
    <row r="866" spans="1:18">
      <c r="A866" s="3" t="s">
        <v>6</v>
      </c>
      <c r="B866" s="2">
        <f>(B860-13.496)/(50.748-13.496)</f>
        <v>0.40011917540663366</v>
      </c>
      <c r="C866" s="2">
        <f t="shared" ref="C866:R866" si="374">(C860-13.496)/(50.748-13.496)</f>
        <v>0.25065220312788228</v>
      </c>
      <c r="D866" s="2">
        <f t="shared" si="374"/>
        <v>0.20096250468541849</v>
      </c>
      <c r="E866" s="2">
        <f t="shared" si="374"/>
        <v>0.25035760842156873</v>
      </c>
      <c r="F866" s="2">
        <f t="shared" si="374"/>
        <v>0.17000203418851365</v>
      </c>
      <c r="G866" s="2">
        <f t="shared" si="374"/>
        <v>0.11542227108575356</v>
      </c>
      <c r="H866" s="2">
        <f t="shared" si="374"/>
        <v>0.13105187978975136</v>
      </c>
      <c r="I866" s="2">
        <f t="shared" si="374"/>
        <v>0.51889545881676746</v>
      </c>
      <c r="J866" s="2">
        <f t="shared" si="374"/>
        <v>0.14898988294550156</v>
      </c>
      <c r="K866" s="2">
        <f t="shared" si="374"/>
        <v>0.35448863794498348</v>
      </c>
      <c r="L866" s="2">
        <f t="shared" si="374"/>
        <v>0.17078941236680065</v>
      </c>
      <c r="M866" s="2">
        <f t="shared" si="374"/>
        <v>0.64067024982850396</v>
      </c>
      <c r="N866" s="2">
        <f t="shared" si="374"/>
        <v>0.17977863269328995</v>
      </c>
      <c r="O866" s="2">
        <f t="shared" si="374"/>
        <v>0.32042490173818727</v>
      </c>
      <c r="P866" s="2">
        <f t="shared" si="374"/>
        <v>0.48755425506221717</v>
      </c>
      <c r="Q866" s="2">
        <f t="shared" si="374"/>
        <v>1.3942227948118468E-5</v>
      </c>
      <c r="R866" s="2">
        <f t="shared" si="374"/>
        <v>3.4468701487874204E-2</v>
      </c>
    </row>
    <row r="867" spans="1:18">
      <c r="A867" s="3" t="s">
        <v>3</v>
      </c>
      <c r="B867" s="2">
        <f>(B861-30.713)/(183.766-30.713)</f>
        <v>6.563319799938569E-2</v>
      </c>
      <c r="C867" s="2">
        <f t="shared" ref="C867:R867" si="375">(C861-30.713)/(183.766-30.713)</f>
        <v>0.90442829469719332</v>
      </c>
      <c r="D867" s="2">
        <f t="shared" si="375"/>
        <v>0.20425276879915763</v>
      </c>
      <c r="E867" s="2">
        <f t="shared" si="375"/>
        <v>0.46312582915958866</v>
      </c>
      <c r="F867" s="2">
        <f t="shared" si="375"/>
        <v>0.33948127428482761</v>
      </c>
      <c r="G867" s="2">
        <f t="shared" si="375"/>
        <v>0.17014353089723294</v>
      </c>
      <c r="H867" s="2">
        <f t="shared" si="375"/>
        <v>0.18514129964213408</v>
      </c>
      <c r="I867" s="2">
        <f t="shared" si="375"/>
        <v>1.0000029320570654</v>
      </c>
      <c r="J867" s="2">
        <f t="shared" si="375"/>
        <v>3.2176692602350603E-3</v>
      </c>
      <c r="K867" s="2">
        <f t="shared" si="375"/>
        <v>0.83914359253971216</v>
      </c>
      <c r="L867" s="2">
        <f t="shared" si="375"/>
        <v>0.18890588416925042</v>
      </c>
      <c r="M867" s="2">
        <f t="shared" si="375"/>
        <v>0.25479831833402833</v>
      </c>
      <c r="N867" s="2">
        <f t="shared" si="375"/>
        <v>0.20922835899641531</v>
      </c>
      <c r="O867" s="2">
        <f t="shared" si="375"/>
        <v>0.41438737589011898</v>
      </c>
      <c r="P867" s="2">
        <f t="shared" si="375"/>
        <v>0.40124629857568883</v>
      </c>
      <c r="Q867" s="2">
        <f t="shared" si="375"/>
        <v>0.22827960071501241</v>
      </c>
      <c r="R867" s="2">
        <f t="shared" si="375"/>
        <v>4.3746049308267595E-6</v>
      </c>
    </row>
    <row r="868" spans="1:18">
      <c r="A868" s="3" t="s">
        <v>7</v>
      </c>
      <c r="B868" s="2">
        <f>(B862-65.958)/(82.695-65.958)</f>
        <v>0.94929446516189597</v>
      </c>
      <c r="C868" s="2">
        <f t="shared" ref="C868:R868" si="376">(C862-65.958)/(82.695-65.958)</f>
        <v>0.86797907950400643</v>
      </c>
      <c r="D868" s="2">
        <f t="shared" si="376"/>
        <v>0.90280916969413594</v>
      </c>
      <c r="E868" s="2">
        <f t="shared" si="376"/>
        <v>0.82702993367987199</v>
      </c>
      <c r="F868" s="2">
        <f t="shared" si="376"/>
        <v>0.86710472051843768</v>
      </c>
      <c r="G868" s="2">
        <f t="shared" si="376"/>
        <v>0.93865643083747707</v>
      </c>
      <c r="H868" s="2">
        <f t="shared" si="376"/>
        <v>0.96372138842377919</v>
      </c>
      <c r="I868" s="2">
        <f t="shared" si="376"/>
        <v>0.86856198549438501</v>
      </c>
      <c r="J868" s="2">
        <f t="shared" si="376"/>
        <v>0.99379933752734329</v>
      </c>
      <c r="K868" s="2">
        <f t="shared" si="376"/>
        <v>0.9109683962944678</v>
      </c>
      <c r="L868" s="2">
        <f t="shared" si="376"/>
        <v>0.89304403709030866</v>
      </c>
      <c r="M868" s="2">
        <f t="shared" si="376"/>
        <v>0.91636027670547326</v>
      </c>
      <c r="N868" s="2">
        <f t="shared" si="376"/>
        <v>0.97800258518806871</v>
      </c>
      <c r="O868" s="2">
        <f t="shared" si="376"/>
        <v>0.9466713882051897</v>
      </c>
      <c r="P868" s="2">
        <f t="shared" si="376"/>
        <v>1.0000072863248806</v>
      </c>
      <c r="Q868" s="2">
        <f t="shared" si="376"/>
        <v>0.88400899423943258</v>
      </c>
      <c r="R868" s="2">
        <f t="shared" si="376"/>
        <v>0.7578098473223488</v>
      </c>
    </row>
    <row r="869" spans="1:18">
      <c r="A869" s="4" t="s">
        <v>8</v>
      </c>
      <c r="B869" s="2">
        <f>(B863-68.509)/(133.045-68.509)</f>
        <v>1.000001549522747</v>
      </c>
      <c r="C869" s="2">
        <f t="shared" ref="C869:R869" si="377">(C863-68.509)/(133.045-68.509)</f>
        <v>0.58809501673484577</v>
      </c>
      <c r="D869" s="2">
        <f t="shared" si="377"/>
        <v>0.58055968761621435</v>
      </c>
      <c r="E869" s="2">
        <f t="shared" si="377"/>
        <v>0.70435105987355917</v>
      </c>
      <c r="F869" s="2">
        <f t="shared" si="377"/>
        <v>0.60383661832155711</v>
      </c>
      <c r="G869" s="2">
        <f t="shared" si="377"/>
        <v>0.64181232180488423</v>
      </c>
      <c r="H869" s="2">
        <f t="shared" si="377"/>
        <v>0.49816691459030621</v>
      </c>
      <c r="I869" s="2">
        <f t="shared" si="377"/>
        <v>0.76314305194000276</v>
      </c>
      <c r="J869" s="2">
        <f t="shared" si="377"/>
        <v>0.51531548283128803</v>
      </c>
      <c r="K869" s="2">
        <f t="shared" si="377"/>
        <v>0.9283066815420854</v>
      </c>
      <c r="L869" s="2">
        <f t="shared" si="377"/>
        <v>0.79465724556836514</v>
      </c>
      <c r="M869" s="2">
        <f t="shared" si="377"/>
        <v>0.68913319697533171</v>
      </c>
      <c r="N869" s="2">
        <f t="shared" si="377"/>
        <v>0.92980352051568149</v>
      </c>
      <c r="O869" s="2">
        <f t="shared" si="377"/>
        <v>0.44009607041031368</v>
      </c>
      <c r="P869" s="2">
        <f t="shared" si="377"/>
        <v>0.42888666790628494</v>
      </c>
      <c r="Q869" s="2">
        <f t="shared" si="377"/>
        <v>0.44732164993182116</v>
      </c>
      <c r="R869" s="2">
        <f t="shared" si="377"/>
        <v>0.38801862526341885</v>
      </c>
    </row>
    <row r="870" spans="1:18">
      <c r="A870" s="3" t="s">
        <v>77</v>
      </c>
      <c r="B870" s="2">
        <f>(B864+B865+B866+B867+B868+B869)/6</f>
        <v>0.63880890220735176</v>
      </c>
      <c r="C870" s="2">
        <f t="shared" ref="C870:R870" si="378">(C864+C865+C866+C867+C868+C869)/6</f>
        <v>0.67920860639538505</v>
      </c>
      <c r="D870" s="2">
        <f t="shared" si="378"/>
        <v>0.55444904700599973</v>
      </c>
      <c r="E870" s="2">
        <f t="shared" si="378"/>
        <v>0.59426186719225405</v>
      </c>
      <c r="F870" s="2">
        <f t="shared" si="378"/>
        <v>0.55679011507025844</v>
      </c>
      <c r="G870" s="2">
        <f t="shared" si="378"/>
        <v>0.53702438581021916</v>
      </c>
      <c r="H870" s="2">
        <f t="shared" si="378"/>
        <v>0.49189426790961677</v>
      </c>
      <c r="I870" s="2">
        <f t="shared" si="378"/>
        <v>0.80200849762253756</v>
      </c>
      <c r="J870" s="2">
        <f t="shared" si="378"/>
        <v>0.48348776923674303</v>
      </c>
      <c r="K870" s="2">
        <f t="shared" si="378"/>
        <v>0.74231455117571088</v>
      </c>
      <c r="L870" s="2">
        <f t="shared" si="378"/>
        <v>0.503189597705337</v>
      </c>
      <c r="M870" s="2">
        <f t="shared" si="378"/>
        <v>0.70060119219400219</v>
      </c>
      <c r="N870" s="2">
        <f t="shared" si="378"/>
        <v>0.56795509056884341</v>
      </c>
      <c r="O870" s="2">
        <f t="shared" si="378"/>
        <v>0.59613420233177372</v>
      </c>
      <c r="P870" s="2">
        <f t="shared" si="378"/>
        <v>0.61833186858230405</v>
      </c>
      <c r="Q870" s="2">
        <f t="shared" si="378"/>
        <v>0.48909940649766326</v>
      </c>
      <c r="R870" s="2">
        <f t="shared" si="378"/>
        <v>0.52125234534936093</v>
      </c>
    </row>
    <row r="872" spans="1:18">
      <c r="A872" s="1" t="s">
        <v>9</v>
      </c>
      <c r="B872" s="2" t="s">
        <v>10</v>
      </c>
      <c r="C872" s="2" t="s">
        <v>11</v>
      </c>
      <c r="D872" s="2" t="s">
        <v>12</v>
      </c>
      <c r="E872" s="2" t="s">
        <v>13</v>
      </c>
      <c r="F872" s="2" t="s">
        <v>14</v>
      </c>
      <c r="G872" s="2" t="s">
        <v>15</v>
      </c>
      <c r="H872" s="2" t="s">
        <v>16</v>
      </c>
      <c r="I872" s="2" t="s">
        <v>17</v>
      </c>
      <c r="J872" s="2" t="s">
        <v>18</v>
      </c>
      <c r="K872" s="2" t="s">
        <v>19</v>
      </c>
      <c r="L872" s="2" t="s">
        <v>20</v>
      </c>
      <c r="M872" s="2" t="s">
        <v>21</v>
      </c>
      <c r="N872" s="2" t="s">
        <v>22</v>
      </c>
      <c r="O872" s="2" t="s">
        <v>23</v>
      </c>
      <c r="P872" s="2" t="s">
        <v>24</v>
      </c>
      <c r="Q872" s="2" t="s">
        <v>25</v>
      </c>
      <c r="R872" s="2" t="s">
        <v>26</v>
      </c>
    </row>
    <row r="873" spans="1:18">
      <c r="B873" s="3">
        <v>2012</v>
      </c>
      <c r="C873" s="3">
        <v>2012</v>
      </c>
      <c r="D873" s="3">
        <v>2012</v>
      </c>
      <c r="E873" s="3">
        <v>2012</v>
      </c>
      <c r="F873" s="3">
        <v>2012</v>
      </c>
      <c r="G873" s="3">
        <v>2012</v>
      </c>
      <c r="H873" s="3">
        <v>2012</v>
      </c>
      <c r="I873" s="3">
        <v>2012</v>
      </c>
      <c r="J873" s="3">
        <v>2012</v>
      </c>
      <c r="K873" s="3">
        <v>2012</v>
      </c>
      <c r="L873" s="3">
        <v>2012</v>
      </c>
      <c r="M873" s="3">
        <v>2012</v>
      </c>
      <c r="N873" s="3">
        <v>2012</v>
      </c>
      <c r="O873" s="3">
        <v>2012</v>
      </c>
      <c r="P873" s="3">
        <v>2012</v>
      </c>
      <c r="Q873" s="3">
        <v>2012</v>
      </c>
      <c r="R873" s="3">
        <v>2012</v>
      </c>
    </row>
    <row r="874" spans="1:18">
      <c r="A874" s="1" t="s">
        <v>0</v>
      </c>
      <c r="B874" s="3">
        <v>11503.0908803984</v>
      </c>
      <c r="C874" s="3">
        <v>12177.802591611729</v>
      </c>
      <c r="D874" s="3">
        <v>15847.550257422985</v>
      </c>
      <c r="E874" s="3">
        <v>7957.6163778293185</v>
      </c>
      <c r="F874" s="3">
        <v>9142.7637150609135</v>
      </c>
      <c r="G874" s="3">
        <v>11155.505540378301</v>
      </c>
      <c r="H874" s="3">
        <v>3340.6033058619355</v>
      </c>
      <c r="I874" s="3">
        <v>4271.5092380799815</v>
      </c>
      <c r="J874" s="3">
        <v>14821.974257668515</v>
      </c>
      <c r="K874" s="3">
        <v>13066.992251738353</v>
      </c>
      <c r="L874" s="3">
        <v>9431.3518459063635</v>
      </c>
      <c r="M874" s="3">
        <v>3801.061648531741</v>
      </c>
      <c r="N874" s="3">
        <v>8463.3551120002921</v>
      </c>
      <c r="O874" s="3">
        <v>8441.6195078651872</v>
      </c>
      <c r="P874" s="3">
        <v>13737.216615441297</v>
      </c>
      <c r="Q874" s="3">
        <v>13821.479977832932</v>
      </c>
      <c r="R874" s="3">
        <v>11622.665908346853</v>
      </c>
    </row>
    <row r="875" spans="1:18">
      <c r="A875" s="1" t="s">
        <v>1</v>
      </c>
      <c r="B875">
        <v>28551</v>
      </c>
      <c r="C875">
        <v>20210</v>
      </c>
      <c r="D875">
        <v>33758</v>
      </c>
      <c r="E875">
        <v>15250</v>
      </c>
      <c r="F875">
        <v>17990</v>
      </c>
      <c r="G875">
        <v>18913</v>
      </c>
      <c r="H875">
        <v>9200</v>
      </c>
      <c r="I875">
        <v>11461</v>
      </c>
      <c r="J875">
        <v>24857</v>
      </c>
      <c r="K875">
        <v>20275</v>
      </c>
      <c r="L875">
        <v>16868</v>
      </c>
      <c r="M875">
        <v>8667</v>
      </c>
      <c r="N875">
        <v>16764</v>
      </c>
      <c r="O875">
        <v>17320</v>
      </c>
      <c r="P875">
        <v>28490</v>
      </c>
      <c r="Q875">
        <v>26489</v>
      </c>
      <c r="R875">
        <v>30376</v>
      </c>
    </row>
    <row r="876" spans="1:18">
      <c r="A876" s="1" t="s">
        <v>2</v>
      </c>
      <c r="B876">
        <v>24.089914251268301</v>
      </c>
      <c r="C876">
        <v>20.132410914658639</v>
      </c>
      <c r="D876">
        <v>25.328736728223511</v>
      </c>
      <c r="E876">
        <v>51.636000000000003</v>
      </c>
      <c r="F876">
        <v>21.94039486931749</v>
      </c>
      <c r="G876">
        <v>17.053707059914576</v>
      </c>
      <c r="H876">
        <v>27.907694334282706</v>
      </c>
      <c r="I876">
        <v>34.476087648316536</v>
      </c>
      <c r="J876">
        <v>37.628355026417367</v>
      </c>
      <c r="K876">
        <v>21.304278641026215</v>
      </c>
      <c r="L876">
        <v>30.014229481946192</v>
      </c>
      <c r="M876">
        <v>15.280998561389437</v>
      </c>
      <c r="N876">
        <v>30.874841730130655</v>
      </c>
      <c r="O876">
        <v>14.228673725867704</v>
      </c>
      <c r="P876">
        <v>15.16589852670219</v>
      </c>
      <c r="Q876">
        <v>17.778903864503718</v>
      </c>
      <c r="R876">
        <v>28.535205571972298</v>
      </c>
    </row>
    <row r="877" spans="1:18">
      <c r="A877" s="1" t="s">
        <v>3</v>
      </c>
      <c r="B877" s="2">
        <v>37.118672780377906</v>
      </c>
      <c r="C877" s="3">
        <v>136.95156889491707</v>
      </c>
      <c r="D877" s="3">
        <v>68.06275823557678</v>
      </c>
      <c r="E877" s="3">
        <v>51.839659984501907</v>
      </c>
      <c r="F877" s="3">
        <v>37.998383681503988</v>
      </c>
      <c r="G877" s="3">
        <v>79.475856900637936</v>
      </c>
      <c r="H877" s="3">
        <v>55.364837704653006</v>
      </c>
      <c r="I877" s="3">
        <v>50.072709064777754</v>
      </c>
      <c r="J877" s="3">
        <v>162.41467345631332</v>
      </c>
      <c r="K877" s="3">
        <v>67.343259608387882</v>
      </c>
      <c r="L877" s="3">
        <v>49.476317512645309</v>
      </c>
      <c r="M877" s="3">
        <v>64.790314873397875</v>
      </c>
      <c r="N877" s="3">
        <v>148.82563163556563</v>
      </c>
      <c r="O877" s="3">
        <v>106.56698490823833</v>
      </c>
      <c r="P877" s="3">
        <v>57.995004610515991</v>
      </c>
      <c r="Q877" s="3">
        <v>55.916147878085354</v>
      </c>
      <c r="R877" s="3">
        <v>50.403567380371506</v>
      </c>
    </row>
    <row r="878" spans="1:18">
      <c r="A878" s="6" t="s">
        <v>27</v>
      </c>
      <c r="B878" s="5">
        <v>76.162251546105196</v>
      </c>
      <c r="C878" s="3">
        <v>73.0625071225071</v>
      </c>
      <c r="D878" s="3">
        <v>80.012927315683399</v>
      </c>
      <c r="E878" s="3">
        <v>75.6134047668682</v>
      </c>
      <c r="F878" s="3">
        <v>73.885919602529398</v>
      </c>
      <c r="G878" s="3">
        <v>79.763871655896097</v>
      </c>
      <c r="H878" s="3">
        <v>66.452983670349496</v>
      </c>
      <c r="I878" s="3">
        <v>71.270816065596605</v>
      </c>
      <c r="J878" s="3">
        <v>75.057120908901396</v>
      </c>
      <c r="K878" s="3">
        <v>77.678113265235197</v>
      </c>
      <c r="L878" s="3">
        <v>75.366720519769302</v>
      </c>
      <c r="M878" s="3">
        <v>68.662072614828702</v>
      </c>
      <c r="N878" s="3">
        <v>73.730263775971096</v>
      </c>
      <c r="O878" s="3">
        <v>75.907133486206604</v>
      </c>
      <c r="P878" s="3">
        <v>75.787357932040806</v>
      </c>
      <c r="Q878" s="3">
        <v>77.0972244458342</v>
      </c>
      <c r="R878" s="3">
        <v>74.459083246473497</v>
      </c>
    </row>
    <row r="879" spans="1:18">
      <c r="A879" s="6" t="s">
        <v>48</v>
      </c>
      <c r="B879" s="5">
        <v>88.873999999999995</v>
      </c>
      <c r="C879" s="3">
        <v>93.323999999999998</v>
      </c>
      <c r="D879" s="3">
        <v>89.896000000000001</v>
      </c>
      <c r="E879" s="3">
        <v>86.742999999999995</v>
      </c>
      <c r="F879" s="3">
        <v>92.81474</v>
      </c>
      <c r="G879" s="3">
        <v>99.989000000000004</v>
      </c>
      <c r="H879" s="3">
        <v>68.894999999999996</v>
      </c>
      <c r="I879" s="3">
        <v>81.254000000000005</v>
      </c>
      <c r="J879" s="3">
        <v>77.736000000000004</v>
      </c>
      <c r="K879" s="3">
        <v>84.875</v>
      </c>
      <c r="L879" s="3">
        <v>91.323999999999998</v>
      </c>
      <c r="M879" s="3">
        <v>85.537000000000006</v>
      </c>
      <c r="N879" s="3">
        <v>86.982939999999999</v>
      </c>
      <c r="O879" s="3">
        <v>91.230999999999995</v>
      </c>
      <c r="P879" s="11">
        <v>89045</v>
      </c>
      <c r="Q879" s="3">
        <v>91.745000000000005</v>
      </c>
      <c r="R879" s="3">
        <v>85.367109999999997</v>
      </c>
    </row>
    <row r="880" spans="1:18">
      <c r="A880" s="3" t="s">
        <v>4</v>
      </c>
      <c r="B880" s="2">
        <f>(B874-3340.603)/(47546.57-3340.603)</f>
        <v>0.18464674419176039</v>
      </c>
      <c r="C880" s="2">
        <f t="shared" ref="C880:R880" si="379">(C874-3340.603)/(47546.57-3340.603)</f>
        <v>0.19990965454079379</v>
      </c>
      <c r="D880" s="2">
        <f t="shared" si="379"/>
        <v>0.28292441283827102</v>
      </c>
      <c r="E880" s="2">
        <f t="shared" si="379"/>
        <v>0.10444321640626748</v>
      </c>
      <c r="F880" s="2">
        <f t="shared" si="379"/>
        <v>0.13125288527363091</v>
      </c>
      <c r="G880" s="2">
        <f t="shared" si="379"/>
        <v>0.17678388395798017</v>
      </c>
      <c r="H880" s="2">
        <f t="shared" si="379"/>
        <v>6.9190192226896594E-9</v>
      </c>
      <c r="I880" s="2">
        <f t="shared" si="379"/>
        <v>2.1058384224011694E-2</v>
      </c>
      <c r="J880" s="2">
        <f t="shared" si="379"/>
        <v>0.25972446791331394</v>
      </c>
      <c r="K880" s="2">
        <f t="shared" si="379"/>
        <v>0.22002435218164901</v>
      </c>
      <c r="L880" s="2">
        <f t="shared" si="379"/>
        <v>0.1377811471900697</v>
      </c>
      <c r="M880" s="2">
        <f t="shared" si="379"/>
        <v>1.0416210294228852E-2</v>
      </c>
      <c r="N880" s="2">
        <f t="shared" si="379"/>
        <v>0.11588372474693953</v>
      </c>
      <c r="O880" s="2">
        <f t="shared" si="379"/>
        <v>0.11539203537534169</v>
      </c>
      <c r="P880" s="2">
        <f t="shared" si="379"/>
        <v>0.2351857525352018</v>
      </c>
      <c r="Q880" s="2">
        <f t="shared" si="379"/>
        <v>0.23709190611830602</v>
      </c>
      <c r="R880" s="2">
        <f t="shared" si="379"/>
        <v>0.18735169639761196</v>
      </c>
    </row>
    <row r="881" spans="1:18">
      <c r="A881" s="3" t="s">
        <v>5</v>
      </c>
      <c r="B881" s="2">
        <f>(B875-8667)/(68374-8667)</f>
        <v>0.33302627832582443</v>
      </c>
      <c r="C881" s="2">
        <f t="shared" ref="C881:R881" si="380">(C875-8667)/(68374-8667)</f>
        <v>0.1933274155459159</v>
      </c>
      <c r="D881" s="2">
        <f t="shared" si="380"/>
        <v>0.42023548327666771</v>
      </c>
      <c r="E881" s="2">
        <f t="shared" si="380"/>
        <v>0.11025507896896511</v>
      </c>
      <c r="F881" s="2">
        <f t="shared" si="380"/>
        <v>0.1561458455457484</v>
      </c>
      <c r="G881" s="2">
        <f t="shared" si="380"/>
        <v>0.17160466946924147</v>
      </c>
      <c r="H881" s="2">
        <f t="shared" si="380"/>
        <v>8.9269264910312018E-3</v>
      </c>
      <c r="I881" s="2">
        <f t="shared" si="380"/>
        <v>4.6795183144354935E-2</v>
      </c>
      <c r="J881" s="2">
        <f t="shared" si="380"/>
        <v>0.27115748572194215</v>
      </c>
      <c r="K881" s="2">
        <f t="shared" si="380"/>
        <v>0.19441606511799286</v>
      </c>
      <c r="L881" s="2">
        <f t="shared" si="380"/>
        <v>0.13735407908620431</v>
      </c>
      <c r="M881" s="2">
        <f t="shared" si="380"/>
        <v>0</v>
      </c>
      <c r="N881" s="2">
        <f t="shared" si="380"/>
        <v>0.13561223977088113</v>
      </c>
      <c r="O881" s="2">
        <f t="shared" si="380"/>
        <v>0.14492438072587804</v>
      </c>
      <c r="P881" s="2">
        <f t="shared" si="380"/>
        <v>0.33200462257356761</v>
      </c>
      <c r="Q881" s="2">
        <f t="shared" si="380"/>
        <v>0.29849096420855176</v>
      </c>
      <c r="R881" s="2">
        <f t="shared" si="380"/>
        <v>0.36359220861875491</v>
      </c>
    </row>
    <row r="882" spans="1:18">
      <c r="A882" s="3" t="s">
        <v>6</v>
      </c>
      <c r="B882" s="2">
        <f>(B876-13.496)/(51.636-13.496)</f>
        <v>0.27776387654085738</v>
      </c>
      <c r="C882" s="2">
        <f t="shared" ref="C882:R882" si="381">(C876-13.496)/(51.636-13.496)</f>
        <v>0.17400133494123329</v>
      </c>
      <c r="D882" s="2">
        <f t="shared" si="381"/>
        <v>0.31024480147413502</v>
      </c>
      <c r="E882" s="2">
        <f t="shared" si="381"/>
        <v>1</v>
      </c>
      <c r="F882" s="2">
        <f t="shared" si="381"/>
        <v>0.22140521419290743</v>
      </c>
      <c r="G882" s="2">
        <f t="shared" si="381"/>
        <v>9.3280206080612882E-2</v>
      </c>
      <c r="H882" s="2">
        <f t="shared" si="381"/>
        <v>0.37786298726488476</v>
      </c>
      <c r="I882" s="2">
        <f t="shared" si="381"/>
        <v>0.55008095564542558</v>
      </c>
      <c r="J882" s="2">
        <f t="shared" si="381"/>
        <v>0.63273086068215434</v>
      </c>
      <c r="K882" s="2">
        <f t="shared" si="381"/>
        <v>0.20472676038348753</v>
      </c>
      <c r="L882" s="2">
        <f t="shared" si="381"/>
        <v>0.43309463770178797</v>
      </c>
      <c r="M882" s="2">
        <f t="shared" si="381"/>
        <v>4.6801220802030315E-2</v>
      </c>
      <c r="N882" s="2">
        <f t="shared" si="381"/>
        <v>0.45565919586079318</v>
      </c>
      <c r="O882" s="2">
        <f t="shared" si="381"/>
        <v>1.9210113420757836E-2</v>
      </c>
      <c r="P882" s="2">
        <f t="shared" si="381"/>
        <v>4.3783390841693477E-2</v>
      </c>
      <c r="Q882" s="2">
        <f t="shared" si="381"/>
        <v>0.11229428066344305</v>
      </c>
      <c r="R882" s="2">
        <f t="shared" si="381"/>
        <v>0.39431582516969843</v>
      </c>
    </row>
    <row r="883" spans="1:18">
      <c r="A883" s="3" t="s">
        <v>3</v>
      </c>
      <c r="B883" s="2">
        <f>(B877-30.403)/(171.15-30.403)</f>
        <v>4.7714500347274945E-2</v>
      </c>
      <c r="C883" s="2">
        <f t="shared" ref="C883:R883" si="382">(C877-30.403)/(171.15-30.403)</f>
        <v>0.75702195354016122</v>
      </c>
      <c r="D883" s="2">
        <f t="shared" si="382"/>
        <v>0.26757059287641499</v>
      </c>
      <c r="E883" s="2">
        <f t="shared" si="382"/>
        <v>0.15230633679227198</v>
      </c>
      <c r="F883" s="2">
        <f t="shared" si="382"/>
        <v>5.3964799828799113E-2</v>
      </c>
      <c r="G883" s="2">
        <f t="shared" si="382"/>
        <v>0.34866005599151623</v>
      </c>
      <c r="H883" s="2">
        <f t="shared" si="382"/>
        <v>0.17735253827543751</v>
      </c>
      <c r="I883" s="2">
        <f t="shared" si="382"/>
        <v>0.13975224384731294</v>
      </c>
      <c r="J883" s="2">
        <f t="shared" si="382"/>
        <v>0.93793596635319632</v>
      </c>
      <c r="K883" s="2">
        <f t="shared" si="382"/>
        <v>0.26245859313795589</v>
      </c>
      <c r="L883" s="2">
        <f t="shared" si="382"/>
        <v>0.13551491337396399</v>
      </c>
      <c r="M883" s="2">
        <f t="shared" si="382"/>
        <v>0.24432005565587808</v>
      </c>
      <c r="N883" s="2">
        <f t="shared" si="382"/>
        <v>0.84138654206175356</v>
      </c>
      <c r="O883" s="2">
        <f t="shared" si="382"/>
        <v>0.5411410893890336</v>
      </c>
      <c r="P883" s="2">
        <f t="shared" si="382"/>
        <v>0.19603973520228488</v>
      </c>
      <c r="Q883" s="2">
        <f t="shared" si="382"/>
        <v>0.18126956793455884</v>
      </c>
      <c r="R883" s="2">
        <f t="shared" si="382"/>
        <v>0.14210297470192262</v>
      </c>
    </row>
    <row r="884" spans="1:18">
      <c r="A884" s="3" t="s">
        <v>7</v>
      </c>
      <c r="B884" s="2">
        <f>(B878-66.452)/(82.947-66.452)</f>
        <v>0.58867848112186694</v>
      </c>
      <c r="C884" s="2">
        <f t="shared" ref="C884:R884" si="383">(C878-66.452)/(82.947-66.452)</f>
        <v>0.40075823719351922</v>
      </c>
      <c r="D884" s="2">
        <f t="shared" si="383"/>
        <v>0.82212351110538928</v>
      </c>
      <c r="E884" s="2">
        <f t="shared" si="383"/>
        <v>0.55540495706991211</v>
      </c>
      <c r="F884" s="2">
        <f t="shared" si="383"/>
        <v>0.45067715080505594</v>
      </c>
      <c r="G884" s="2">
        <f t="shared" si="383"/>
        <v>0.80702465328257622</v>
      </c>
      <c r="H884" s="2">
        <f t="shared" si="383"/>
        <v>5.9634455865311366E-5</v>
      </c>
      <c r="I884" s="2">
        <f t="shared" si="383"/>
        <v>0.29213798518318312</v>
      </c>
      <c r="J884" s="2">
        <f t="shared" si="383"/>
        <v>0.52168056434685639</v>
      </c>
      <c r="K884" s="2">
        <f t="shared" si="383"/>
        <v>0.68057673629798099</v>
      </c>
      <c r="L884" s="2">
        <f t="shared" si="383"/>
        <v>0.54044986479353152</v>
      </c>
      <c r="M884" s="2">
        <f t="shared" si="383"/>
        <v>0.13398439617027602</v>
      </c>
      <c r="N884" s="2">
        <f t="shared" si="383"/>
        <v>0.44124060478757782</v>
      </c>
      <c r="O884" s="2">
        <f t="shared" si="383"/>
        <v>0.5732120937378965</v>
      </c>
      <c r="P884" s="2">
        <f t="shared" si="383"/>
        <v>0.56595076884151585</v>
      </c>
      <c r="Q884" s="2">
        <f t="shared" si="383"/>
        <v>0.64536068177230677</v>
      </c>
      <c r="R884" s="2">
        <f t="shared" si="383"/>
        <v>0.48542487095929049</v>
      </c>
    </row>
    <row r="885" spans="1:18">
      <c r="A885" s="4" t="s">
        <v>8</v>
      </c>
      <c r="B885" s="2">
        <f>(B879-68.895)/(134.747-68.895)</f>
        <v>0.30339245580999807</v>
      </c>
      <c r="C885" s="2">
        <f t="shared" ref="C885:R885" si="384">(C879-68.895)/(134.747-68.895)</f>
        <v>0.37096823179250432</v>
      </c>
      <c r="D885" s="2">
        <f t="shared" si="384"/>
        <v>0.3189121059345198</v>
      </c>
      <c r="E885" s="2">
        <f t="shared" si="384"/>
        <v>0.27103201117657771</v>
      </c>
      <c r="F885" s="2">
        <f t="shared" si="384"/>
        <v>0.36323482961793108</v>
      </c>
      <c r="G885" s="2">
        <f t="shared" si="384"/>
        <v>0.47218004008989856</v>
      </c>
      <c r="H885" s="2">
        <f t="shared" si="384"/>
        <v>0</v>
      </c>
      <c r="I885" s="2">
        <f t="shared" si="384"/>
        <v>0.18767843041972918</v>
      </c>
      <c r="J885" s="2">
        <f t="shared" si="384"/>
        <v>0.13425560347445797</v>
      </c>
      <c r="K885" s="2">
        <f t="shared" si="384"/>
        <v>0.24266537083156167</v>
      </c>
      <c r="L885" s="2">
        <f t="shared" si="384"/>
        <v>0.34059709651946785</v>
      </c>
      <c r="M885" s="2">
        <f t="shared" si="384"/>
        <v>0.25271821660693683</v>
      </c>
      <c r="N885" s="2">
        <f t="shared" si="384"/>
        <v>0.27467563627528396</v>
      </c>
      <c r="O885" s="2">
        <f t="shared" si="384"/>
        <v>0.33918483872927158</v>
      </c>
      <c r="P885" s="2">
        <f t="shared" si="384"/>
        <v>1351.1526605114495</v>
      </c>
      <c r="Q885" s="2">
        <f t="shared" si="384"/>
        <v>0.34699022049444211</v>
      </c>
      <c r="R885" s="2">
        <f t="shared" si="384"/>
        <v>0.25013834052116862</v>
      </c>
    </row>
    <row r="886" spans="1:18">
      <c r="A886" s="3" t="s">
        <v>76</v>
      </c>
      <c r="B886" s="2">
        <f>(B880+B881+B882+B883+B884+B885)/6</f>
        <v>0.28920372272293038</v>
      </c>
      <c r="C886" s="2">
        <f t="shared" ref="C886:R886" si="385">(C880+C881+C882+C883+C884+C885)/6</f>
        <v>0.34933113792568798</v>
      </c>
      <c r="D886" s="2">
        <f t="shared" si="385"/>
        <v>0.40366848458423304</v>
      </c>
      <c r="E886" s="2">
        <f t="shared" si="385"/>
        <v>0.36557360006899908</v>
      </c>
      <c r="F886" s="2">
        <f t="shared" si="385"/>
        <v>0.22944678754401215</v>
      </c>
      <c r="G886" s="2">
        <f t="shared" si="385"/>
        <v>0.34492225147863759</v>
      </c>
      <c r="H886" s="2">
        <f t="shared" si="385"/>
        <v>9.4033682234373014E-2</v>
      </c>
      <c r="I886" s="2">
        <f t="shared" si="385"/>
        <v>0.20625053041066957</v>
      </c>
      <c r="J886" s="2">
        <f t="shared" si="385"/>
        <v>0.45958082474865347</v>
      </c>
      <c r="K886" s="2">
        <f t="shared" si="385"/>
        <v>0.30081131299177133</v>
      </c>
      <c r="L886" s="2">
        <f t="shared" si="385"/>
        <v>0.28746528977750424</v>
      </c>
      <c r="M886" s="2">
        <f t="shared" si="385"/>
        <v>0.11470668325489168</v>
      </c>
      <c r="N886" s="2">
        <f t="shared" si="385"/>
        <v>0.37740965725053816</v>
      </c>
      <c r="O886" s="2">
        <f t="shared" si="385"/>
        <v>0.28884409189636318</v>
      </c>
      <c r="P886" s="2">
        <f t="shared" si="385"/>
        <v>225.42093746357398</v>
      </c>
      <c r="Q886" s="2">
        <f t="shared" si="385"/>
        <v>0.3035829368652681</v>
      </c>
      <c r="R886" s="2">
        <f t="shared" si="385"/>
        <v>0.30382098606140784</v>
      </c>
    </row>
    <row r="888" spans="1:18">
      <c r="A888" s="1" t="s">
        <v>9</v>
      </c>
      <c r="B888" s="2" t="s">
        <v>28</v>
      </c>
      <c r="C888" s="2" t="s">
        <v>29</v>
      </c>
      <c r="D888" s="2" t="s">
        <v>30</v>
      </c>
      <c r="E888" s="2" t="s">
        <v>31</v>
      </c>
      <c r="F888" s="2" t="s">
        <v>32</v>
      </c>
      <c r="G888" s="2" t="s">
        <v>33</v>
      </c>
      <c r="H888" s="2" t="s">
        <v>34</v>
      </c>
      <c r="I888" s="2" t="s">
        <v>35</v>
      </c>
      <c r="J888" s="2" t="s">
        <v>36</v>
      </c>
      <c r="K888" s="2" t="s">
        <v>37</v>
      </c>
      <c r="L888" s="2" t="s">
        <v>38</v>
      </c>
      <c r="M888" s="2" t="s">
        <v>39</v>
      </c>
      <c r="N888" s="2" t="s">
        <v>40</v>
      </c>
      <c r="O888" s="2" t="s">
        <v>41</v>
      </c>
      <c r="P888" s="2" t="s">
        <v>42</v>
      </c>
      <c r="Q888" s="2" t="s">
        <v>43</v>
      </c>
      <c r="R888" s="2" t="s">
        <v>44</v>
      </c>
    </row>
    <row r="889" spans="1:18">
      <c r="B889" s="3">
        <v>2012</v>
      </c>
      <c r="C889" s="3">
        <v>2012</v>
      </c>
      <c r="D889" s="3">
        <v>2012</v>
      </c>
      <c r="E889" s="3">
        <v>2012</v>
      </c>
      <c r="F889" s="3">
        <v>2012</v>
      </c>
      <c r="G889" s="3">
        <v>2012</v>
      </c>
      <c r="H889" s="3">
        <v>2012</v>
      </c>
      <c r="I889" s="3">
        <v>2012</v>
      </c>
      <c r="J889" s="3">
        <v>2012</v>
      </c>
      <c r="K889" s="3">
        <v>2012</v>
      </c>
      <c r="L889" s="3">
        <v>2012</v>
      </c>
      <c r="M889" s="3">
        <v>2012</v>
      </c>
      <c r="N889" s="3">
        <v>2012</v>
      </c>
      <c r="O889" s="3">
        <v>2012</v>
      </c>
      <c r="P889" s="3">
        <v>2012</v>
      </c>
      <c r="Q889" s="3">
        <v>2012</v>
      </c>
      <c r="R889" s="3">
        <v>2012</v>
      </c>
    </row>
    <row r="890" spans="1:18">
      <c r="A890" s="1" t="s">
        <v>0</v>
      </c>
      <c r="B890" s="3">
        <v>35668.771917266909</v>
      </c>
      <c r="C890" s="3">
        <v>32639.206370512813</v>
      </c>
      <c r="D890" s="3">
        <v>35936.264886440811</v>
      </c>
      <c r="E890" s="3">
        <v>32363.237603234236</v>
      </c>
      <c r="F890" s="3">
        <v>31609.515142858047</v>
      </c>
      <c r="G890" s="3">
        <v>29819.099539085531</v>
      </c>
      <c r="H890" s="3">
        <v>26310.45534017335</v>
      </c>
      <c r="I890" s="3">
        <v>36722.889933098108</v>
      </c>
      <c r="J890" s="3">
        <v>31425.488651745476</v>
      </c>
      <c r="K890" s="3">
        <v>36438.322311587246</v>
      </c>
      <c r="L890" s="3">
        <v>25857.494757008095</v>
      </c>
      <c r="M890" s="3">
        <v>47546.571252879039</v>
      </c>
      <c r="N890" s="3">
        <v>26395.459730483693</v>
      </c>
      <c r="O890" s="3">
        <v>34945.103521514517</v>
      </c>
      <c r="P890" s="3">
        <v>39292.538682848288</v>
      </c>
      <c r="Q890" s="3">
        <v>32671.241003777679</v>
      </c>
      <c r="R890" s="3">
        <v>45335.897364268254</v>
      </c>
    </row>
    <row r="891" spans="1:18">
      <c r="A891" s="1" t="s">
        <v>1</v>
      </c>
      <c r="B891" s="3">
        <v>50652</v>
      </c>
      <c r="C891" s="3">
        <v>54858</v>
      </c>
      <c r="D891" s="3">
        <v>50125</v>
      </c>
      <c r="E891" s="3">
        <v>47152</v>
      </c>
      <c r="F891" s="3">
        <v>50200</v>
      </c>
      <c r="G891" s="3">
        <v>52535</v>
      </c>
      <c r="H891" s="3">
        <v>45053</v>
      </c>
      <c r="I891" s="3">
        <v>62584</v>
      </c>
      <c r="J891" s="3">
        <v>44851</v>
      </c>
      <c r="K891" s="3">
        <v>46691</v>
      </c>
      <c r="L891" s="3">
        <v>36586</v>
      </c>
      <c r="M891" s="3">
        <v>51435</v>
      </c>
      <c r="N891" s="3">
        <v>43297</v>
      </c>
      <c r="O891" s="3">
        <v>52380</v>
      </c>
      <c r="P891" s="3">
        <v>41918</v>
      </c>
      <c r="Q891" s="3">
        <v>49428</v>
      </c>
      <c r="R891" s="3">
        <v>68374</v>
      </c>
    </row>
    <row r="892" spans="1:18">
      <c r="A892" s="1" t="s">
        <v>2</v>
      </c>
      <c r="B892" s="3">
        <v>28.401239522247916</v>
      </c>
      <c r="C892" s="3">
        <v>22.833295870919869</v>
      </c>
      <c r="D892" s="3">
        <v>20.982255224541209</v>
      </c>
      <c r="E892" s="3">
        <v>22.822321628920278</v>
      </c>
      <c r="F892" s="3">
        <v>19.82891577759051</v>
      </c>
      <c r="G892" s="3">
        <v>17.795710442486492</v>
      </c>
      <c r="H892" s="3">
        <v>18.377944625927817</v>
      </c>
      <c r="I892" s="3">
        <v>32.82589363184222</v>
      </c>
      <c r="J892" s="3">
        <v>19.046171119485823</v>
      </c>
      <c r="K892" s="3">
        <v>26.701410740726523</v>
      </c>
      <c r="L892" s="3">
        <v>19.858247189488058</v>
      </c>
      <c r="M892" s="3">
        <v>37.362248146611428</v>
      </c>
      <c r="N892" s="3">
        <v>20.193113625090437</v>
      </c>
      <c r="O892" s="3">
        <v>25.432468439550952</v>
      </c>
      <c r="P892" s="3">
        <v>31.658371109577711</v>
      </c>
      <c r="Q892" s="3">
        <v>13.496</v>
      </c>
      <c r="R892" s="3">
        <v>14.78002806782629</v>
      </c>
    </row>
    <row r="893" spans="1:18">
      <c r="A893" s="1" t="s">
        <v>3</v>
      </c>
      <c r="B893" s="3">
        <v>42.267024926803629</v>
      </c>
      <c r="C893" s="3">
        <v>171.15017784884046</v>
      </c>
      <c r="D893" s="3">
        <v>61.359134533758031</v>
      </c>
      <c r="E893" s="3">
        <v>103.7873666724233</v>
      </c>
      <c r="F893" s="3">
        <v>81.998119880960417</v>
      </c>
      <c r="G893" s="3">
        <v>57.087871923589738</v>
      </c>
      <c r="H893" s="3">
        <v>59.302850685711483</v>
      </c>
      <c r="I893" s="3">
        <v>191.36868791156181</v>
      </c>
      <c r="J893" s="3">
        <v>31.310504997698352</v>
      </c>
      <c r="K893" s="3">
        <v>167.65447877491499</v>
      </c>
      <c r="L893" s="3">
        <v>59.021997549909699</v>
      </c>
      <c r="M893" s="3">
        <v>68.176326383456257</v>
      </c>
      <c r="N893" s="3">
        <v>64.562459548183583</v>
      </c>
      <c r="O893" s="3">
        <v>91.264188314698302</v>
      </c>
      <c r="P893" s="3">
        <v>94.162907472329366</v>
      </c>
      <c r="Q893" s="3">
        <v>65.342484752073801</v>
      </c>
      <c r="R893" s="3">
        <v>30.403949620181475</v>
      </c>
    </row>
    <row r="894" spans="1:18">
      <c r="A894" s="6" t="s">
        <v>27</v>
      </c>
      <c r="B894" s="3">
        <v>81.927999999999997</v>
      </c>
      <c r="C894" s="3">
        <v>80.734999999999999</v>
      </c>
      <c r="D894" s="3">
        <v>81.968000000000004</v>
      </c>
      <c r="E894" s="3">
        <v>80.153000000000006</v>
      </c>
      <c r="F894" s="3">
        <v>80.947999999999993</v>
      </c>
      <c r="G894" s="3">
        <v>82.052000000000007</v>
      </c>
      <c r="H894" s="3">
        <v>82.468000000000004</v>
      </c>
      <c r="I894" s="3">
        <v>80.873999999999995</v>
      </c>
      <c r="J894" s="3">
        <v>82.873000000000005</v>
      </c>
      <c r="K894" s="3">
        <v>81.438999999999993</v>
      </c>
      <c r="L894" s="3">
        <v>81.341999999999999</v>
      </c>
      <c r="M894" s="3">
        <v>81.542000000000002</v>
      </c>
      <c r="N894" s="3">
        <v>82.784000000000006</v>
      </c>
      <c r="O894" s="3">
        <v>82.736000000000004</v>
      </c>
      <c r="P894" s="3">
        <v>82.947000000000003</v>
      </c>
      <c r="Q894" s="3">
        <v>80.938000000000002</v>
      </c>
      <c r="R894" s="3">
        <v>79.683000000000007</v>
      </c>
    </row>
    <row r="895" spans="1:18">
      <c r="A895" s="6" t="s">
        <v>48</v>
      </c>
      <c r="B895" s="3">
        <v>134.74700000000001</v>
      </c>
      <c r="C895" s="3">
        <v>106.84699999999999</v>
      </c>
      <c r="D895" s="3">
        <v>106.753</v>
      </c>
      <c r="E895" s="3">
        <v>113.467</v>
      </c>
      <c r="F895" s="3">
        <v>107.7942</v>
      </c>
      <c r="G895" s="3">
        <v>110.485</v>
      </c>
      <c r="H895" s="3">
        <v>101.358</v>
      </c>
      <c r="I895" s="3">
        <v>117.837</v>
      </c>
      <c r="J895" s="3">
        <v>101.95699999999999</v>
      </c>
      <c r="K895" s="3">
        <v>128.952</v>
      </c>
      <c r="L895" s="3">
        <v>120.637</v>
      </c>
      <c r="M895" s="3">
        <v>113.241</v>
      </c>
      <c r="N895" s="3">
        <v>128.852</v>
      </c>
      <c r="O895" s="3">
        <v>97.476799999999997</v>
      </c>
      <c r="P895" s="3">
        <v>97.638999999999996</v>
      </c>
      <c r="Q895" s="3">
        <v>97.847999999999999</v>
      </c>
      <c r="R895" s="3">
        <v>94.748699999999999</v>
      </c>
    </row>
    <row r="896" spans="1:18">
      <c r="A896" s="3" t="s">
        <v>4</v>
      </c>
      <c r="B896" s="2">
        <f t="shared" ref="B896:R896" si="386">(B890-3340.603)/(47546.57-3340.603)</f>
        <v>0.73130781003539436</v>
      </c>
      <c r="C896" s="2">
        <f t="shared" si="386"/>
        <v>0.66277485504418021</v>
      </c>
      <c r="D896" s="2">
        <f t="shared" si="386"/>
        <v>0.7373588702728936</v>
      </c>
      <c r="E896" s="2">
        <f t="shared" si="386"/>
        <v>0.65653206055269053</v>
      </c>
      <c r="F896" s="2">
        <f t="shared" si="386"/>
        <v>0.63948181798303494</v>
      </c>
      <c r="G896" s="2">
        <f t="shared" si="386"/>
        <v>0.59898014535199595</v>
      </c>
      <c r="H896" s="2">
        <f t="shared" si="386"/>
        <v>0.51960976987955843</v>
      </c>
      <c r="I896" s="2">
        <f t="shared" si="386"/>
        <v>0.75515341476633924</v>
      </c>
      <c r="J896" s="2">
        <f t="shared" si="386"/>
        <v>0.63531888470498743</v>
      </c>
      <c r="K896" s="2">
        <f t="shared" si="386"/>
        <v>0.7487161023213732</v>
      </c>
      <c r="L896" s="2">
        <f t="shared" si="386"/>
        <v>0.50936317617501947</v>
      </c>
      <c r="M896" s="2">
        <f t="shared" si="386"/>
        <v>1.0000000283418535</v>
      </c>
      <c r="N896" s="2">
        <f t="shared" si="386"/>
        <v>0.52153268653717488</v>
      </c>
      <c r="O896" s="2">
        <f t="shared" si="386"/>
        <v>0.71493743189724857</v>
      </c>
      <c r="P896" s="2">
        <f t="shared" si="386"/>
        <v>0.81328241689291147</v>
      </c>
      <c r="Q896" s="2">
        <f t="shared" si="386"/>
        <v>0.66349952267253154</v>
      </c>
      <c r="R896" s="2">
        <f t="shared" si="386"/>
        <v>0.94999153314004536</v>
      </c>
    </row>
    <row r="897" spans="1:18">
      <c r="A897" s="3" t="s">
        <v>5</v>
      </c>
      <c r="B897" s="2">
        <f>(B891-8667)/(68374-8667)</f>
        <v>0.70318388128695131</v>
      </c>
      <c r="C897" s="2">
        <f t="shared" ref="C897:R897" si="387">(C891-8667)/(68374-8667)</f>
        <v>0.77362788282780914</v>
      </c>
      <c r="D897" s="2">
        <f t="shared" si="387"/>
        <v>0.69435744552565026</v>
      </c>
      <c r="E897" s="2">
        <f t="shared" si="387"/>
        <v>0.64456428894434492</v>
      </c>
      <c r="F897" s="2">
        <f t="shared" si="387"/>
        <v>0.69561357964727755</v>
      </c>
      <c r="G897" s="2">
        <f t="shared" si="387"/>
        <v>0.73472122196727352</v>
      </c>
      <c r="H897" s="2">
        <f t="shared" si="387"/>
        <v>0.60940928199373612</v>
      </c>
      <c r="I897" s="2">
        <f t="shared" si="387"/>
        <v>0.90302644581037395</v>
      </c>
      <c r="J897" s="2">
        <f t="shared" si="387"/>
        <v>0.60602609409281993</v>
      </c>
      <c r="K897" s="2">
        <f t="shared" si="387"/>
        <v>0.6368432512100759</v>
      </c>
      <c r="L897" s="2">
        <f t="shared" si="387"/>
        <v>0.46760011388949368</v>
      </c>
      <c r="M897" s="2">
        <f t="shared" si="387"/>
        <v>0.7162979215167401</v>
      </c>
      <c r="N897" s="2">
        <f t="shared" si="387"/>
        <v>0.5799989950927027</v>
      </c>
      <c r="O897" s="2">
        <f t="shared" si="387"/>
        <v>0.73212521144924381</v>
      </c>
      <c r="P897" s="2">
        <f t="shared" si="387"/>
        <v>0.55690287570971575</v>
      </c>
      <c r="Q897" s="2">
        <f t="shared" si="387"/>
        <v>0.68268377242199407</v>
      </c>
      <c r="R897" s="2">
        <f t="shared" si="387"/>
        <v>1</v>
      </c>
    </row>
    <row r="898" spans="1:18">
      <c r="A898" s="3" t="s">
        <v>6</v>
      </c>
      <c r="B898" s="2">
        <f>(B892-13.496)/(51.636-13.496)</f>
        <v>0.39080334353035961</v>
      </c>
      <c r="C898" s="2">
        <f t="shared" ref="C898:R898" si="388">(C892-13.496)/(51.636-13.496)</f>
        <v>0.24481635739171129</v>
      </c>
      <c r="D898" s="2">
        <f t="shared" si="388"/>
        <v>0.19628356645362371</v>
      </c>
      <c r="E898" s="2">
        <f t="shared" si="388"/>
        <v>0.2445286216287435</v>
      </c>
      <c r="F898" s="2">
        <f t="shared" si="388"/>
        <v>0.16604393753514707</v>
      </c>
      <c r="G898" s="2">
        <f t="shared" si="388"/>
        <v>0.11273493556598037</v>
      </c>
      <c r="H898" s="2">
        <f t="shared" si="388"/>
        <v>0.12800064567194067</v>
      </c>
      <c r="I898" s="2">
        <f t="shared" si="388"/>
        <v>0.50681420114950759</v>
      </c>
      <c r="J898" s="2">
        <f t="shared" si="388"/>
        <v>0.14552100470597332</v>
      </c>
      <c r="K898" s="2">
        <f t="shared" si="388"/>
        <v>0.34623520557751764</v>
      </c>
      <c r="L898" s="2">
        <f t="shared" si="388"/>
        <v>0.16681298346848603</v>
      </c>
      <c r="M898" s="2">
        <f t="shared" si="388"/>
        <v>0.62575375318855342</v>
      </c>
      <c r="N898" s="2">
        <f t="shared" si="388"/>
        <v>0.17559291098821281</v>
      </c>
      <c r="O898" s="2">
        <f t="shared" si="388"/>
        <v>0.31296456317648014</v>
      </c>
      <c r="P898" s="2">
        <f t="shared" si="388"/>
        <v>0.47620270344986138</v>
      </c>
      <c r="Q898" s="2">
        <f t="shared" si="388"/>
        <v>0</v>
      </c>
      <c r="R898" s="2">
        <f t="shared" si="388"/>
        <v>3.3666179020091495E-2</v>
      </c>
    </row>
    <row r="899" spans="1:18">
      <c r="A899" s="3" t="s">
        <v>3</v>
      </c>
      <c r="B899" s="2">
        <f>(B893-30.403)/(171.15-30.403)</f>
        <v>8.429327038447447E-2</v>
      </c>
      <c r="C899" s="2">
        <f t="shared" ref="C899:R899" si="389">(C893-30.403)/(171.15-30.403)</f>
        <v>1.0000012636066165</v>
      </c>
      <c r="D899" s="2">
        <f t="shared" si="389"/>
        <v>0.21994170059580687</v>
      </c>
      <c r="E899" s="2">
        <f t="shared" si="389"/>
        <v>0.52139204865768585</v>
      </c>
      <c r="F899" s="2">
        <f t="shared" si="389"/>
        <v>0.36658060122745362</v>
      </c>
      <c r="G899" s="2">
        <f t="shared" si="389"/>
        <v>0.18959460538121406</v>
      </c>
      <c r="H899" s="2">
        <f t="shared" si="389"/>
        <v>0.20533191247921079</v>
      </c>
      <c r="I899" s="2">
        <f t="shared" si="389"/>
        <v>1.143652709553751</v>
      </c>
      <c r="J899" s="2">
        <f t="shared" si="389"/>
        <v>6.4477750694391604E-3</v>
      </c>
      <c r="K899" s="2">
        <f t="shared" si="389"/>
        <v>0.97516450634766627</v>
      </c>
      <c r="L899" s="2">
        <f t="shared" si="389"/>
        <v>0.20333646578548528</v>
      </c>
      <c r="M899" s="2">
        <f t="shared" si="389"/>
        <v>0.26837748856782917</v>
      </c>
      <c r="N899" s="2">
        <f t="shared" si="389"/>
        <v>0.2427011556067524</v>
      </c>
      <c r="O899" s="2">
        <f t="shared" si="389"/>
        <v>0.43241552796648097</v>
      </c>
      <c r="P899" s="2">
        <f t="shared" si="389"/>
        <v>0.45301077445579202</v>
      </c>
      <c r="Q899" s="2">
        <f t="shared" si="389"/>
        <v>0.24824319347534085</v>
      </c>
      <c r="R899" s="2">
        <f t="shared" si="389"/>
        <v>6.7470012254347359E-6</v>
      </c>
    </row>
    <row r="900" spans="1:18">
      <c r="A900" s="3" t="s">
        <v>7</v>
      </c>
      <c r="B900" s="2">
        <f>(B894-66.452)/(82.947-66.452)</f>
        <v>0.93822370415277323</v>
      </c>
      <c r="C900" s="2">
        <f t="shared" ref="C900:R900" si="390">(C894-66.452)/(82.947-66.452)</f>
        <v>0.8658987571991511</v>
      </c>
      <c r="D900" s="2">
        <f t="shared" si="390"/>
        <v>0.9406486814186118</v>
      </c>
      <c r="E900" s="2">
        <f t="shared" si="390"/>
        <v>0.83061533798120668</v>
      </c>
      <c r="F900" s="2">
        <f t="shared" si="390"/>
        <v>0.8788117611397388</v>
      </c>
      <c r="G900" s="2">
        <f t="shared" si="390"/>
        <v>0.94574113367687207</v>
      </c>
      <c r="H900" s="2">
        <f t="shared" si="390"/>
        <v>0.97096089724158841</v>
      </c>
      <c r="I900" s="2">
        <f t="shared" si="390"/>
        <v>0.87432555319793837</v>
      </c>
      <c r="J900" s="2">
        <f t="shared" si="390"/>
        <v>0.99551379205819956</v>
      </c>
      <c r="K900" s="2">
        <f t="shared" si="390"/>
        <v>0.9085783570779018</v>
      </c>
      <c r="L900" s="2">
        <f t="shared" si="390"/>
        <v>0.90269778720824467</v>
      </c>
      <c r="M900" s="2">
        <f t="shared" si="390"/>
        <v>0.91482267353743552</v>
      </c>
      <c r="N900" s="2">
        <f t="shared" si="390"/>
        <v>0.99011821764170982</v>
      </c>
      <c r="O900" s="2">
        <f t="shared" si="390"/>
        <v>0.98720824492270398</v>
      </c>
      <c r="P900" s="2">
        <f t="shared" si="390"/>
        <v>1</v>
      </c>
      <c r="Q900" s="2">
        <f t="shared" si="390"/>
        <v>0.87820551682327974</v>
      </c>
      <c r="R900" s="2">
        <f t="shared" si="390"/>
        <v>0.80212185510760869</v>
      </c>
    </row>
    <row r="901" spans="1:18">
      <c r="A901" s="4" t="s">
        <v>8</v>
      </c>
      <c r="B901" s="2">
        <f>(B895-68.895)/(134.747-68.895)</f>
        <v>1</v>
      </c>
      <c r="C901" s="2">
        <f t="shared" ref="C901:R901" si="391">(C895-68.895)/(134.747-68.895)</f>
        <v>0.57632266294114054</v>
      </c>
      <c r="D901" s="2">
        <f t="shared" si="391"/>
        <v>0.57489521958330791</v>
      </c>
      <c r="E901" s="2">
        <f t="shared" si="391"/>
        <v>0.67685112069489139</v>
      </c>
      <c r="F901" s="2">
        <f t="shared" si="391"/>
        <v>0.59070643260645073</v>
      </c>
      <c r="G901" s="2">
        <f t="shared" si="391"/>
        <v>0.63156775800279408</v>
      </c>
      <c r="H901" s="2">
        <f t="shared" si="391"/>
        <v>0.49296908218429203</v>
      </c>
      <c r="I901" s="2">
        <f t="shared" si="391"/>
        <v>0.74321205126647627</v>
      </c>
      <c r="J901" s="2">
        <f t="shared" si="391"/>
        <v>0.50206523719856633</v>
      </c>
      <c r="K901" s="2">
        <f t="shared" si="391"/>
        <v>0.91199963554637653</v>
      </c>
      <c r="L901" s="2">
        <f t="shared" si="391"/>
        <v>0.78573164064872725</v>
      </c>
      <c r="M901" s="2">
        <f t="shared" si="391"/>
        <v>0.67341918240903831</v>
      </c>
      <c r="N901" s="2">
        <f t="shared" si="391"/>
        <v>0.91048107878272477</v>
      </c>
      <c r="O901" s="2">
        <f t="shared" si="391"/>
        <v>0.4340308570734373</v>
      </c>
      <c r="P901" s="2">
        <f t="shared" si="391"/>
        <v>0.43649395614408054</v>
      </c>
      <c r="Q901" s="2">
        <f t="shared" si="391"/>
        <v>0.43966773978011292</v>
      </c>
      <c r="R901" s="2">
        <f t="shared" si="391"/>
        <v>0.39260311000425191</v>
      </c>
    </row>
    <row r="902" spans="1:18">
      <c r="A902" s="3" t="s">
        <v>76</v>
      </c>
      <c r="B902" s="2">
        <f>(B896+B897+B898+B899+B900+B901)/6</f>
        <v>0.64130200156499217</v>
      </c>
      <c r="C902" s="2">
        <f t="shared" ref="C902:R902" si="392">(C896+C897+C898+C899+C900+C901)/6</f>
        <v>0.6872402965017681</v>
      </c>
      <c r="D902" s="2">
        <f t="shared" si="392"/>
        <v>0.56058091397498233</v>
      </c>
      <c r="E902" s="2">
        <f t="shared" si="392"/>
        <v>0.59574724640992727</v>
      </c>
      <c r="F902" s="2">
        <f t="shared" si="392"/>
        <v>0.55620635502318383</v>
      </c>
      <c r="G902" s="2">
        <f t="shared" si="392"/>
        <v>0.53555663332435499</v>
      </c>
      <c r="H902" s="2">
        <f t="shared" si="392"/>
        <v>0.48771359824172106</v>
      </c>
      <c r="I902" s="2">
        <f t="shared" si="392"/>
        <v>0.82103072929073118</v>
      </c>
      <c r="J902" s="2">
        <f t="shared" si="392"/>
        <v>0.48181546463833103</v>
      </c>
      <c r="K902" s="2">
        <f t="shared" si="392"/>
        <v>0.75458950968015193</v>
      </c>
      <c r="L902" s="2">
        <f t="shared" si="392"/>
        <v>0.50592369452924268</v>
      </c>
      <c r="M902" s="2">
        <f t="shared" si="392"/>
        <v>0.69977850792690832</v>
      </c>
      <c r="N902" s="2">
        <f t="shared" si="392"/>
        <v>0.57007084077487957</v>
      </c>
      <c r="O902" s="2">
        <f t="shared" si="392"/>
        <v>0.60228030608093241</v>
      </c>
      <c r="P902" s="2">
        <f t="shared" si="392"/>
        <v>0.62264878777539345</v>
      </c>
      <c r="Q902" s="2">
        <f t="shared" si="392"/>
        <v>0.48538329086220983</v>
      </c>
      <c r="R902" s="2">
        <f t="shared" si="392"/>
        <v>0.52973157071220378</v>
      </c>
    </row>
  </sheetData>
  <sortState ref="A33:AH33">
    <sortCondition descending="1" ref="A33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B11" sqref="B11"/>
    </sheetView>
  </sheetViews>
  <sheetFormatPr defaultRowHeight="15.75"/>
  <sheetData>
    <row r="1" spans="1:36" ht="18.75">
      <c r="A1" t="s">
        <v>78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24</v>
      </c>
      <c r="Q1" s="2" t="s">
        <v>25</v>
      </c>
      <c r="R1" s="2" t="s">
        <v>26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8.75">
      <c r="A2">
        <v>1985</v>
      </c>
      <c r="B2" s="13">
        <v>0.57940135999235898</v>
      </c>
      <c r="C2" s="13">
        <v>0.7729562815293719</v>
      </c>
      <c r="D2" s="13">
        <v>0.58705715415215798</v>
      </c>
      <c r="E2" s="13">
        <v>0.31451295207095614</v>
      </c>
      <c r="F2" s="13">
        <v>0.39764868967681105</v>
      </c>
      <c r="G2" s="13">
        <v>0.45786819051699018</v>
      </c>
      <c r="H2" s="13">
        <v>9.177600065949032E-2</v>
      </c>
      <c r="I2" s="13">
        <v>0.28247761180603853</v>
      </c>
      <c r="J2" s="13">
        <v>0.63693590480743667</v>
      </c>
      <c r="K2" s="13">
        <v>0.59834321312290195</v>
      </c>
      <c r="L2" s="13">
        <v>0.43643354051645139</v>
      </c>
      <c r="M2" s="13">
        <v>0.32011983403877026</v>
      </c>
      <c r="N2" s="13">
        <v>0.37044498787454594</v>
      </c>
      <c r="O2" s="13">
        <v>0.42565189064227438</v>
      </c>
      <c r="P2" s="13">
        <v>0.29009000395987788</v>
      </c>
      <c r="Q2" s="13">
        <v>0.56108586006808059</v>
      </c>
      <c r="R2" s="13">
        <v>0.68594273806469308</v>
      </c>
      <c r="T2" s="2" t="s">
        <v>10</v>
      </c>
    </row>
    <row r="3" spans="1:36" ht="18.75">
      <c r="A3">
        <v>1986</v>
      </c>
      <c r="B3" s="13">
        <v>0.51332541186710778</v>
      </c>
      <c r="C3" s="13">
        <v>0.72662847975924383</v>
      </c>
      <c r="D3" s="13">
        <v>0.54982382057861068</v>
      </c>
      <c r="E3" s="13">
        <v>0.29696171104771729</v>
      </c>
      <c r="F3" s="13">
        <v>0.41415386392509451</v>
      </c>
      <c r="G3" s="13">
        <v>0.42083983646543405</v>
      </c>
      <c r="H3" s="13">
        <v>7.2065668129313962E-2</v>
      </c>
      <c r="I3" s="13">
        <v>0.23588853430847037</v>
      </c>
      <c r="J3" s="13">
        <v>0.57393366902612375</v>
      </c>
      <c r="K3" s="13">
        <v>0.51795682646249663</v>
      </c>
      <c r="L3" s="13">
        <v>0.3533027182014794</v>
      </c>
      <c r="M3" s="13">
        <v>0.28030072029517777</v>
      </c>
      <c r="N3" s="13">
        <v>0.3434919526229781</v>
      </c>
      <c r="O3" s="13">
        <v>0.33201414794330536</v>
      </c>
      <c r="P3" s="13">
        <v>0.2813559516381009</v>
      </c>
      <c r="Q3" s="13">
        <v>0.51057262701159478</v>
      </c>
      <c r="R3" s="13">
        <v>0.60015362759411717</v>
      </c>
      <c r="T3" s="2" t="s">
        <v>11</v>
      </c>
    </row>
    <row r="4" spans="1:36" ht="18.75">
      <c r="A4">
        <v>1987</v>
      </c>
      <c r="B4">
        <v>0.3794803775846714</v>
      </c>
      <c r="C4">
        <v>0.57661822410109964</v>
      </c>
      <c r="D4">
        <v>0.48248308365811615</v>
      </c>
      <c r="E4">
        <v>0.29362625581968349</v>
      </c>
      <c r="F4">
        <v>0.31805952334406851</v>
      </c>
      <c r="G4">
        <v>0.33601781117247093</v>
      </c>
      <c r="H4">
        <v>6.354328857309699E-2</v>
      </c>
      <c r="I4">
        <v>0.25919119232074211</v>
      </c>
      <c r="J4">
        <v>0.5389634337602025</v>
      </c>
      <c r="K4">
        <v>0.40132025284372091</v>
      </c>
      <c r="L4">
        <v>0.26190931992752592</v>
      </c>
      <c r="M4">
        <v>0.24062308939298502</v>
      </c>
      <c r="N4">
        <v>0.31833988166920041</v>
      </c>
      <c r="O4">
        <v>0.31086417505369934</v>
      </c>
      <c r="P4">
        <v>0.27320977825961723</v>
      </c>
      <c r="Q4">
        <v>0.39071421716520655</v>
      </c>
      <c r="R4">
        <v>0.48236322402697923</v>
      </c>
      <c r="T4" s="2" t="s">
        <v>12</v>
      </c>
    </row>
    <row r="5" spans="1:36" ht="18.75">
      <c r="A5">
        <v>1988</v>
      </c>
      <c r="B5">
        <v>0.34418822304948665</v>
      </c>
      <c r="C5">
        <v>0.58939218936784576</v>
      </c>
      <c r="D5">
        <v>0.49181376127481019</v>
      </c>
      <c r="E5">
        <v>0.3003412388330991</v>
      </c>
      <c r="F5">
        <v>0.28509533557315775</v>
      </c>
      <c r="G5">
        <v>0.30660446070751751</v>
      </c>
      <c r="H5">
        <v>7.3871479448089319E-2</v>
      </c>
      <c r="I5">
        <v>0.25395779185606221</v>
      </c>
      <c r="J5">
        <v>0.51908475149216471</v>
      </c>
      <c r="K5">
        <v>0.3551461588104774</v>
      </c>
      <c r="L5">
        <v>0.33401262975946416</v>
      </c>
      <c r="M5">
        <v>0.24882603057182595</v>
      </c>
      <c r="N5">
        <v>0.34639744640939235</v>
      </c>
      <c r="O5">
        <v>0.29454614130431839</v>
      </c>
      <c r="P5">
        <v>0.27085393215078207</v>
      </c>
      <c r="Q5">
        <v>0.36553637399501976</v>
      </c>
      <c r="R5">
        <v>0.39647985967592597</v>
      </c>
      <c r="T5" s="2" t="s">
        <v>13</v>
      </c>
    </row>
    <row r="6" spans="1:36" ht="18.75">
      <c r="A6">
        <v>1989</v>
      </c>
      <c r="B6">
        <v>0.34581270551042054</v>
      </c>
      <c r="C6">
        <v>0.56671722521187362</v>
      </c>
      <c r="D6">
        <v>0.5052315068292681</v>
      </c>
      <c r="E6">
        <v>0.29405887587809454</v>
      </c>
      <c r="F6">
        <v>0.29025866066810863</v>
      </c>
      <c r="G6">
        <v>0.30495969496034875</v>
      </c>
      <c r="H6">
        <v>8.8794283809878027E-2</v>
      </c>
      <c r="I6">
        <v>0.29015222734649654</v>
      </c>
      <c r="J6">
        <v>0.53655163864059086</v>
      </c>
      <c r="K6">
        <v>0.35099065558303316</v>
      </c>
      <c r="L6">
        <v>0.23942125290045468</v>
      </c>
      <c r="M6">
        <v>0.25935474814074883</v>
      </c>
      <c r="N6">
        <v>0.3688112044168288</v>
      </c>
      <c r="O6">
        <v>0.31380504015741822</v>
      </c>
      <c r="P6">
        <v>0.24332989389139548</v>
      </c>
      <c r="Q6">
        <v>0.3657529636150551</v>
      </c>
      <c r="R6">
        <v>0.43316565534685542</v>
      </c>
      <c r="T6" s="2" t="s">
        <v>14</v>
      </c>
    </row>
    <row r="7" spans="1:36" ht="18.75">
      <c r="A7">
        <v>1990</v>
      </c>
      <c r="B7">
        <v>0.32027357324945421</v>
      </c>
      <c r="C7">
        <v>0.4366889972525112</v>
      </c>
      <c r="D7">
        <v>0.47235211362546253</v>
      </c>
      <c r="E7">
        <v>0.2925934431258706</v>
      </c>
      <c r="F7">
        <v>0.29974902736789982</v>
      </c>
      <c r="G7">
        <v>0.30309124604836274</v>
      </c>
      <c r="H7">
        <v>9.5709798710051183E-2</v>
      </c>
      <c r="I7">
        <v>0.247759096092351</v>
      </c>
      <c r="J7">
        <v>0.51863387586565535</v>
      </c>
      <c r="K7">
        <v>0.33962892181117138</v>
      </c>
      <c r="L7">
        <v>0.2265555567285179</v>
      </c>
      <c r="M7">
        <v>0.25539765867004921</v>
      </c>
      <c r="N7">
        <v>0.36157341663589659</v>
      </c>
      <c r="O7">
        <v>0.32372322405030107</v>
      </c>
      <c r="P7">
        <v>0.23390129550815397</v>
      </c>
      <c r="Q7">
        <v>0.36901699639134611</v>
      </c>
      <c r="R7">
        <v>0.44799132690499244</v>
      </c>
      <c r="T7" s="2" t="s">
        <v>15</v>
      </c>
    </row>
    <row r="8" spans="1:36" ht="18.75">
      <c r="A8">
        <v>1991</v>
      </c>
      <c r="B8">
        <v>0.29367744117927075</v>
      </c>
      <c r="C8">
        <v>0.46140638116947646</v>
      </c>
      <c r="D8">
        <v>0.44867490737503241</v>
      </c>
      <c r="E8">
        <v>0.2964441870831776</v>
      </c>
      <c r="F8">
        <v>0.27903296423360441</v>
      </c>
      <c r="G8">
        <v>0.30158262250472362</v>
      </c>
      <c r="H8">
        <v>8.0693465876045478E-2</v>
      </c>
      <c r="I8">
        <v>0.24510460564353975</v>
      </c>
      <c r="J8">
        <v>0.51681580397809179</v>
      </c>
      <c r="K8">
        <v>0.31359687091657068</v>
      </c>
      <c r="L8">
        <v>0.18964792001040487</v>
      </c>
      <c r="M8">
        <v>0.22727478611485133</v>
      </c>
      <c r="N8">
        <v>0.37523839898612149</v>
      </c>
      <c r="O8">
        <v>0.30065750122276635</v>
      </c>
      <c r="P8">
        <v>0.22078066212800684</v>
      </c>
      <c r="Q8">
        <v>0.35985786573156048</v>
      </c>
      <c r="R8">
        <v>0.4041884881648829</v>
      </c>
      <c r="T8" s="2" t="s">
        <v>16</v>
      </c>
    </row>
    <row r="9" spans="1:36" ht="18.75">
      <c r="A9">
        <v>1992</v>
      </c>
      <c r="B9">
        <v>0.28951997687488534</v>
      </c>
      <c r="C9">
        <v>0.38864709329640768</v>
      </c>
      <c r="D9">
        <v>0.44724754343229067</v>
      </c>
      <c r="E9">
        <v>0.30379965089321648</v>
      </c>
      <c r="F9">
        <v>0.24848728805803977</v>
      </c>
      <c r="G9">
        <v>0.32222165111209117</v>
      </c>
      <c r="H9">
        <v>8.7081514348869557E-2</v>
      </c>
      <c r="I9">
        <v>0.24891007212893737</v>
      </c>
      <c r="J9">
        <v>0.53632336207841624</v>
      </c>
      <c r="K9">
        <v>0.29629511508251111</v>
      </c>
      <c r="L9">
        <v>0.17859106678457981</v>
      </c>
      <c r="M9">
        <v>0.22239774551894387</v>
      </c>
      <c r="N9">
        <v>0.37873310649980024</v>
      </c>
      <c r="O9">
        <v>0.31463961323780615</v>
      </c>
      <c r="P9">
        <v>0.22913165274457881</v>
      </c>
      <c r="Q9">
        <v>0.34950781722916408</v>
      </c>
      <c r="R9">
        <v>0.38414973721368595</v>
      </c>
      <c r="T9" s="2" t="s">
        <v>17</v>
      </c>
    </row>
    <row r="10" spans="1:36" ht="18.75">
      <c r="A10">
        <v>1993</v>
      </c>
      <c r="B10">
        <v>0.31233300106524348</v>
      </c>
      <c r="C10">
        <v>0.33034023682009783</v>
      </c>
      <c r="D10">
        <v>0.42975819776361535</v>
      </c>
      <c r="E10">
        <v>0.30424890518963227</v>
      </c>
      <c r="F10">
        <v>0.26034925591159164</v>
      </c>
      <c r="G10">
        <v>0.33630872312202365</v>
      </c>
      <c r="H10">
        <v>8.4388368175276507E-2</v>
      </c>
      <c r="I10">
        <v>0.22439563514767127</v>
      </c>
      <c r="J10">
        <v>0.52498471983986927</v>
      </c>
      <c r="K10">
        <v>0.29923578335217144</v>
      </c>
      <c r="L10">
        <v>0.19972750350689103</v>
      </c>
      <c r="M10">
        <v>0.23360456983480593</v>
      </c>
      <c r="N10">
        <v>0.36680436139927508</v>
      </c>
      <c r="O10">
        <v>0.31613170841239818</v>
      </c>
      <c r="P10">
        <v>0.25412886385125449</v>
      </c>
      <c r="Q10">
        <v>0.34464427018798993</v>
      </c>
      <c r="R10">
        <v>0.36616382465353725</v>
      </c>
      <c r="T10" s="2" t="s">
        <v>18</v>
      </c>
    </row>
    <row r="11" spans="1:36" ht="18.75">
      <c r="A11">
        <v>1994</v>
      </c>
      <c r="B11">
        <v>0.30300200118267595</v>
      </c>
      <c r="C11">
        <v>0.30920377207980054</v>
      </c>
      <c r="D11">
        <v>0.41864250802303032</v>
      </c>
      <c r="E11">
        <v>0.29313991726537997</v>
      </c>
      <c r="F11">
        <v>0.2469226673169157</v>
      </c>
      <c r="G11">
        <v>0.31003648084058849</v>
      </c>
      <c r="H11">
        <v>7.7484609278037339E-2</v>
      </c>
      <c r="I11">
        <v>0.20536924077613117</v>
      </c>
      <c r="J11">
        <v>0.51331853788062654</v>
      </c>
      <c r="K11">
        <v>0.28773062520565468</v>
      </c>
      <c r="L11">
        <v>0.21376851981206538</v>
      </c>
      <c r="M11">
        <v>0.22433524462025234</v>
      </c>
      <c r="N11">
        <v>0.34903856836902669</v>
      </c>
      <c r="O11">
        <v>0.29934354103456662</v>
      </c>
      <c r="P11">
        <v>0.2429250316787378</v>
      </c>
      <c r="Q11">
        <v>0.33003295178651904</v>
      </c>
      <c r="R11">
        <v>0.35212815809228482</v>
      </c>
      <c r="T11" s="2" t="s">
        <v>19</v>
      </c>
    </row>
    <row r="12" spans="1:36" ht="18.75">
      <c r="A12">
        <v>1995</v>
      </c>
      <c r="B12">
        <v>0.27080283310063979</v>
      </c>
      <c r="C12">
        <v>0.32821339335450683</v>
      </c>
      <c r="D12">
        <v>0.41801406980330968</v>
      </c>
      <c r="E12">
        <v>0.29149046042349019</v>
      </c>
      <c r="F12">
        <v>0.22282100688360926</v>
      </c>
      <c r="G12">
        <v>0.28201639762191938</v>
      </c>
      <c r="H12">
        <v>6.5248054869537483E-2</v>
      </c>
      <c r="I12">
        <v>0.18702063601189775</v>
      </c>
      <c r="J12">
        <v>0.51301446607862722</v>
      </c>
      <c r="K12">
        <v>0.3034168643106091</v>
      </c>
      <c r="L12">
        <v>0.19562091014133268</v>
      </c>
      <c r="M12">
        <v>0.17948729693231735</v>
      </c>
      <c r="N12">
        <v>0.34956948648504849</v>
      </c>
      <c r="O12">
        <v>0.27100627828137303</v>
      </c>
      <c r="P12">
        <v>0.22001909215079285</v>
      </c>
      <c r="Q12">
        <v>0.29269676649628545</v>
      </c>
      <c r="R12">
        <v>0.32242885185048714</v>
      </c>
      <c r="T12" s="2" t="s">
        <v>20</v>
      </c>
    </row>
    <row r="13" spans="1:36" ht="18.75">
      <c r="A13">
        <v>1996</v>
      </c>
      <c r="B13">
        <v>0.29581158351885373</v>
      </c>
      <c r="C13">
        <v>0.31434171576218189</v>
      </c>
      <c r="D13">
        <v>0.41554162752523388</v>
      </c>
      <c r="E13">
        <v>0.29345200000317812</v>
      </c>
      <c r="F13">
        <v>0.22348507617891497</v>
      </c>
      <c r="G13">
        <v>0.27889738154692068</v>
      </c>
      <c r="H13">
        <v>5.4199236199419056E-2</v>
      </c>
      <c r="I13">
        <v>0.19686860952884225</v>
      </c>
      <c r="J13">
        <v>0.53535956985257305</v>
      </c>
      <c r="K13">
        <v>0.33728844651911838</v>
      </c>
      <c r="L13">
        <v>0.20529813664315152</v>
      </c>
      <c r="M13">
        <v>0.20599910181282879</v>
      </c>
      <c r="N13">
        <v>0.36343553946740076</v>
      </c>
      <c r="O13">
        <v>0.29911224101436318</v>
      </c>
      <c r="P13">
        <v>0.22872135620779602</v>
      </c>
      <c r="Q13">
        <v>0.31349726861407251</v>
      </c>
      <c r="R13">
        <v>0.37819091741311661</v>
      </c>
      <c r="T13" s="2" t="s">
        <v>21</v>
      </c>
    </row>
    <row r="14" spans="1:36" ht="18.75">
      <c r="A14">
        <v>1997</v>
      </c>
      <c r="B14">
        <v>0.27813078267423402</v>
      </c>
      <c r="C14">
        <v>0.30098649436600433</v>
      </c>
      <c r="D14">
        <v>0.40206418425037699</v>
      </c>
      <c r="E14">
        <v>0.28441393025725831</v>
      </c>
      <c r="F14">
        <v>0.19705417403807091</v>
      </c>
      <c r="G14">
        <v>0.2731632161899436</v>
      </c>
      <c r="H14">
        <v>5.2838823171563916E-2</v>
      </c>
      <c r="I14">
        <v>0.20037462617552471</v>
      </c>
      <c r="J14">
        <v>0.53375320896088441</v>
      </c>
      <c r="K14">
        <v>0.32707198037467916</v>
      </c>
      <c r="L14">
        <v>0.2022990942210986</v>
      </c>
      <c r="M14">
        <v>0.20129139980794633</v>
      </c>
      <c r="N14">
        <v>0.3557979043527843</v>
      </c>
      <c r="O14">
        <v>0.27261473405808845</v>
      </c>
      <c r="P14">
        <v>0.23227679576637125</v>
      </c>
      <c r="Q14">
        <v>0.29116744817358692</v>
      </c>
      <c r="R14">
        <v>0.37501072966562438</v>
      </c>
      <c r="T14" s="2" t="s">
        <v>22</v>
      </c>
    </row>
    <row r="15" spans="1:36" ht="18.75">
      <c r="A15">
        <v>1998</v>
      </c>
      <c r="B15">
        <v>0.28595179739182558</v>
      </c>
      <c r="C15">
        <v>0.30283610871532457</v>
      </c>
      <c r="D15">
        <v>0.37133437496491256</v>
      </c>
      <c r="E15">
        <v>0.25141481199833021</v>
      </c>
      <c r="F15">
        <v>0.1935600834764</v>
      </c>
      <c r="G15">
        <v>0.30552506033266219</v>
      </c>
      <c r="H15">
        <v>4.3709395882648085E-2</v>
      </c>
      <c r="I15">
        <v>0.18009344368191227</v>
      </c>
      <c r="J15">
        <v>0.53352547336553746</v>
      </c>
      <c r="K15">
        <v>0.30299637453324713</v>
      </c>
      <c r="L15">
        <v>0.19661520050250367</v>
      </c>
      <c r="M15">
        <v>0.17264293967739322</v>
      </c>
      <c r="N15">
        <v>0.33784995241154592</v>
      </c>
      <c r="O15">
        <v>0.26527880462327941</v>
      </c>
      <c r="P15">
        <v>0.23371016588927271</v>
      </c>
      <c r="Q15">
        <v>0.29695082945914425</v>
      </c>
      <c r="R15">
        <v>0.31166618480734704</v>
      </c>
      <c r="T15" s="2" t="s">
        <v>23</v>
      </c>
    </row>
    <row r="16" spans="1:36" ht="18.75">
      <c r="A16">
        <v>1999</v>
      </c>
      <c r="B16">
        <v>0.2688049997040311</v>
      </c>
      <c r="C16">
        <v>0.28537350462952321</v>
      </c>
      <c r="D16">
        <v>0.32873804436701354</v>
      </c>
      <c r="E16">
        <v>0.13826488680630308</v>
      </c>
      <c r="F16">
        <v>0.19025345669610738</v>
      </c>
      <c r="G16">
        <v>0.30084262953529323</v>
      </c>
      <c r="H16">
        <v>1.1608038021639322E-2</v>
      </c>
      <c r="I16">
        <v>9.6199883894751079E-2</v>
      </c>
      <c r="J16">
        <v>0.38248881452953215</v>
      </c>
      <c r="K16">
        <v>0.27132840197333497</v>
      </c>
      <c r="L16">
        <v>0.18280807607892846</v>
      </c>
      <c r="M16">
        <v>0.16571034615442404</v>
      </c>
      <c r="N16">
        <v>0.23410340430612445</v>
      </c>
      <c r="O16">
        <v>0.23809137367869426</v>
      </c>
      <c r="P16">
        <v>0.1950062345573492</v>
      </c>
      <c r="Q16">
        <v>0.29288710203899088</v>
      </c>
      <c r="R16">
        <v>0.23558465995852099</v>
      </c>
      <c r="T16" s="2" t="s">
        <v>24</v>
      </c>
    </row>
    <row r="17" spans="1:20" ht="18.75">
      <c r="A17">
        <v>2000</v>
      </c>
      <c r="B17">
        <v>0.28547284603947137</v>
      </c>
      <c r="C17">
        <v>0.28716464804251013</v>
      </c>
      <c r="D17">
        <v>0.38961779670931701</v>
      </c>
      <c r="E17">
        <v>0.25817954503021379</v>
      </c>
      <c r="F17">
        <v>0.19650916631968049</v>
      </c>
      <c r="G17">
        <v>0.32463894619123562</v>
      </c>
      <c r="H17">
        <v>6.1293573103534969E-2</v>
      </c>
      <c r="I17">
        <v>0.20474274311468485</v>
      </c>
      <c r="J17">
        <v>0.53624506421041762</v>
      </c>
      <c r="K17">
        <v>0.32308446493138271</v>
      </c>
      <c r="L17">
        <v>0.21980577915213315</v>
      </c>
      <c r="M17">
        <v>0.20157480578525222</v>
      </c>
      <c r="N17">
        <v>0.34035377930879224</v>
      </c>
      <c r="O17">
        <v>0.29350392633831818</v>
      </c>
      <c r="P17">
        <v>0.23769761623254479</v>
      </c>
      <c r="Q17">
        <v>0.30505179073661898</v>
      </c>
      <c r="R17">
        <v>0.35254992421639325</v>
      </c>
      <c r="T17" s="2" t="s">
        <v>25</v>
      </c>
    </row>
    <row r="18" spans="1:20" ht="18.75">
      <c r="A18">
        <v>2001</v>
      </c>
      <c r="B18">
        <v>0.28315932649243414</v>
      </c>
      <c r="C18">
        <v>0.29171611290470689</v>
      </c>
      <c r="D18">
        <v>0.39503413776481139</v>
      </c>
      <c r="E18">
        <v>0.28290932467649854</v>
      </c>
      <c r="F18">
        <v>0.19590789823195554</v>
      </c>
      <c r="G18">
        <v>0.32013102688679612</v>
      </c>
      <c r="H18">
        <v>7.7111645518949362E-2</v>
      </c>
      <c r="I18">
        <v>0.2139436871254341</v>
      </c>
      <c r="J18">
        <v>0.53296333439894117</v>
      </c>
      <c r="K18">
        <v>0.31160637258703761</v>
      </c>
      <c r="L18">
        <v>0.22456896311561514</v>
      </c>
      <c r="M18">
        <v>0.19812624791180175</v>
      </c>
      <c r="N18">
        <v>0.35840225330702813</v>
      </c>
      <c r="O18">
        <v>0.3152371761656278</v>
      </c>
      <c r="P18">
        <v>0.27261397163868178</v>
      </c>
      <c r="Q18">
        <v>0.30906329788801401</v>
      </c>
      <c r="R18">
        <v>0.34399127031579146</v>
      </c>
      <c r="T18" s="2" t="s">
        <v>26</v>
      </c>
    </row>
    <row r="19" spans="1:20" ht="18.75">
      <c r="A19">
        <v>2002</v>
      </c>
      <c r="B19">
        <v>0.34288882147722083</v>
      </c>
      <c r="C19">
        <v>0.28340801318428294</v>
      </c>
      <c r="D19">
        <v>0.39416901472878235</v>
      </c>
      <c r="E19">
        <v>0.29475218114382984</v>
      </c>
      <c r="F19">
        <v>0.1901993102537328</v>
      </c>
      <c r="G19">
        <v>0.31701413808996576</v>
      </c>
      <c r="H19">
        <v>7.2634870530511056E-2</v>
      </c>
      <c r="I19">
        <v>0.1833339741081422</v>
      </c>
      <c r="J19">
        <v>0.52924709925955238</v>
      </c>
      <c r="K19">
        <v>0.30171041610718485</v>
      </c>
      <c r="L19">
        <v>0.22272685694668914</v>
      </c>
      <c r="M19">
        <v>0.19512101148525354</v>
      </c>
      <c r="N19">
        <v>0.35138607384776233</v>
      </c>
      <c r="O19">
        <v>0.28993077987883537</v>
      </c>
      <c r="P19">
        <v>0.2738138308149744</v>
      </c>
      <c r="Q19">
        <v>0.30655336144650619</v>
      </c>
      <c r="R19">
        <v>0.35034373462438512</v>
      </c>
      <c r="T19" s="2" t="s">
        <v>28</v>
      </c>
    </row>
    <row r="20" spans="1:20" ht="18.75">
      <c r="A20">
        <v>2003</v>
      </c>
      <c r="B20">
        <v>0.33053632592568855</v>
      </c>
      <c r="C20">
        <v>0.27236372553425886</v>
      </c>
      <c r="D20">
        <v>0.40927283389448016</v>
      </c>
      <c r="E20">
        <v>0.31332166726064542</v>
      </c>
      <c r="F20">
        <v>0.20295789623594385</v>
      </c>
      <c r="G20">
        <v>0.33419355387575894</v>
      </c>
      <c r="H20">
        <v>7.8336099874850351E-2</v>
      </c>
      <c r="I20">
        <v>0.20350752600682817</v>
      </c>
      <c r="J20">
        <v>0.52855598635123247</v>
      </c>
      <c r="K20">
        <v>0.31290239816594506</v>
      </c>
      <c r="L20">
        <v>0.21688609391280567</v>
      </c>
      <c r="M20">
        <v>0.19521484268143133</v>
      </c>
      <c r="N20">
        <v>0.35668821194607619</v>
      </c>
      <c r="O20">
        <v>0.28128114152049227</v>
      </c>
      <c r="P20">
        <v>0.26319018721897969</v>
      </c>
      <c r="Q20">
        <v>0.33905182704441145</v>
      </c>
      <c r="R20">
        <v>0.32022518008897388</v>
      </c>
      <c r="T20" s="2" t="s">
        <v>29</v>
      </c>
    </row>
    <row r="21" spans="1:20" ht="18.75">
      <c r="A21">
        <v>2004</v>
      </c>
      <c r="B21">
        <v>0.35067008195258492</v>
      </c>
      <c r="C21">
        <v>0.30601409007244695</v>
      </c>
      <c r="D21">
        <v>0.44960535326871981</v>
      </c>
      <c r="E21">
        <v>0.33518250347030687</v>
      </c>
      <c r="F21">
        <v>0.2254180810800385</v>
      </c>
      <c r="G21">
        <v>0.35843218963317014</v>
      </c>
      <c r="H21">
        <v>0.10482233288720139</v>
      </c>
      <c r="I21">
        <v>0.18445532554955468</v>
      </c>
      <c r="J21">
        <v>0.54049298904512477</v>
      </c>
      <c r="K21">
        <v>0.33574277338779379</v>
      </c>
      <c r="L21">
        <v>0.25667824227927033</v>
      </c>
      <c r="M21">
        <v>0.21355464656886916</v>
      </c>
      <c r="N21">
        <v>0.3614755645298946</v>
      </c>
      <c r="O21">
        <v>0.30888283355243162</v>
      </c>
      <c r="P21">
        <v>0.29195988989848515</v>
      </c>
      <c r="Q21">
        <v>0.39287750257262294</v>
      </c>
      <c r="R21">
        <v>0.37292449842953884</v>
      </c>
      <c r="T21" s="2" t="s">
        <v>30</v>
      </c>
    </row>
    <row r="22" spans="1:20" ht="18.75">
      <c r="A22">
        <v>2005</v>
      </c>
      <c r="B22">
        <v>0.34505513895437795</v>
      </c>
      <c r="C22">
        <v>0.28833538933448311</v>
      </c>
      <c r="D22">
        <v>0.45492812083947221</v>
      </c>
      <c r="E22">
        <v>0.34071871700900008</v>
      </c>
      <c r="F22">
        <v>0.22857399404381076</v>
      </c>
      <c r="G22">
        <v>0.35638956223591794</v>
      </c>
      <c r="H22">
        <v>0.10428314805189914</v>
      </c>
      <c r="I22">
        <v>0.17570324464580289</v>
      </c>
      <c r="J22">
        <v>0.52632813755406238</v>
      </c>
      <c r="K22">
        <v>0.32492627686217718</v>
      </c>
      <c r="L22">
        <v>0.26298882308098942</v>
      </c>
      <c r="M22">
        <v>0.19677478440400931</v>
      </c>
      <c r="N22">
        <v>0.36802616324099313</v>
      </c>
      <c r="O22">
        <v>0.31185198448777335</v>
      </c>
      <c r="P22">
        <v>0.27680496381524322</v>
      </c>
      <c r="Q22">
        <v>0.37014392261020762</v>
      </c>
      <c r="R22">
        <v>0.39596342559825543</v>
      </c>
      <c r="T22" s="2" t="s">
        <v>31</v>
      </c>
    </row>
    <row r="23" spans="1:20" ht="18.75">
      <c r="A23">
        <v>2006</v>
      </c>
      <c r="B23">
        <v>0.33013849945496559</v>
      </c>
      <c r="C23">
        <v>0.2369203923180998</v>
      </c>
      <c r="D23">
        <v>0.42307651172512273</v>
      </c>
      <c r="E23">
        <v>0.30886967377256047</v>
      </c>
      <c r="F23">
        <v>0.23121060540779981</v>
      </c>
      <c r="G23">
        <v>0.30903220616419985</v>
      </c>
      <c r="H23">
        <v>8.5543436135363471E-2</v>
      </c>
      <c r="I23">
        <v>0.14520847046090665</v>
      </c>
      <c r="J23">
        <v>0.36085231170315657</v>
      </c>
      <c r="K23">
        <v>0.30746332630361417</v>
      </c>
      <c r="L23">
        <v>0.26750057388511089</v>
      </c>
      <c r="M23">
        <v>0.12333809522174265</v>
      </c>
      <c r="N23">
        <v>0.25756722620032385</v>
      </c>
      <c r="O23">
        <v>0.25677139723333103</v>
      </c>
      <c r="P23">
        <v>0.26795693501000362</v>
      </c>
      <c r="Q23">
        <v>0.31612646970433134</v>
      </c>
      <c r="R23">
        <v>0.36242930545447966</v>
      </c>
      <c r="T23" s="2" t="s">
        <v>32</v>
      </c>
    </row>
    <row r="24" spans="1:20" ht="18.75">
      <c r="A24">
        <v>2007</v>
      </c>
      <c r="B24">
        <v>0.33793761161621011</v>
      </c>
      <c r="C24">
        <v>0.33638867271083006</v>
      </c>
      <c r="D24">
        <v>0.4591992490779957</v>
      </c>
      <c r="E24">
        <v>0.3493685979645984</v>
      </c>
      <c r="F24">
        <v>0.24368811827100414</v>
      </c>
      <c r="G24">
        <v>0.37634439475795806</v>
      </c>
      <c r="H24">
        <v>0.10446004656117659</v>
      </c>
      <c r="I24">
        <v>0.1730463719791844</v>
      </c>
      <c r="J24">
        <v>0.50013649620238898</v>
      </c>
      <c r="K24">
        <v>0.32760196243526502</v>
      </c>
      <c r="L24">
        <v>0.29307430373283094</v>
      </c>
      <c r="M24">
        <v>0.17486122609061464</v>
      </c>
      <c r="N24">
        <v>0.37913834878699709</v>
      </c>
      <c r="O24">
        <v>0.33588748031825899</v>
      </c>
      <c r="P24">
        <v>0.28703822065852563</v>
      </c>
      <c r="Q24">
        <v>0.32003585085487468</v>
      </c>
      <c r="R24">
        <v>0.37204658935550988</v>
      </c>
      <c r="T24" s="2" t="s">
        <v>33</v>
      </c>
    </row>
    <row r="25" spans="1:20" ht="18.75">
      <c r="A25">
        <v>2008</v>
      </c>
      <c r="B25">
        <v>0.33490697751865106</v>
      </c>
      <c r="C25">
        <v>0.36269639093491457</v>
      </c>
      <c r="D25">
        <v>0.44499590437942366</v>
      </c>
      <c r="E25">
        <v>0.35047185440177198</v>
      </c>
      <c r="F25">
        <v>0.25611389175789168</v>
      </c>
      <c r="G25">
        <v>0.37904384325853657</v>
      </c>
      <c r="H25">
        <v>9.789642107063036E-2</v>
      </c>
      <c r="I25">
        <v>0.17095061229176059</v>
      </c>
      <c r="J25">
        <v>0.4968324188744983</v>
      </c>
      <c r="K25">
        <v>0.338496011672065</v>
      </c>
      <c r="L25">
        <v>0.29104012868494911</v>
      </c>
      <c r="M25">
        <v>0.16908541391694354</v>
      </c>
      <c r="N25">
        <v>0.38338999166476562</v>
      </c>
      <c r="O25">
        <v>0.36585240831521032</v>
      </c>
      <c r="P25">
        <v>0.29141213198071086</v>
      </c>
      <c r="Q25">
        <v>0.32392100738769442</v>
      </c>
      <c r="R25">
        <v>0.37221227318096989</v>
      </c>
      <c r="T25" s="2" t="s">
        <v>34</v>
      </c>
    </row>
    <row r="26" spans="1:20" ht="18.75">
      <c r="A26">
        <v>2009</v>
      </c>
      <c r="B26">
        <v>0.32627004583670488</v>
      </c>
      <c r="C26">
        <v>0.33978827907424541</v>
      </c>
      <c r="D26">
        <v>0.42302710541271304</v>
      </c>
      <c r="E26">
        <v>0.34575684568747955</v>
      </c>
      <c r="F26">
        <v>0.25972658187974662</v>
      </c>
      <c r="G26">
        <v>0.37388607802794827</v>
      </c>
      <c r="H26">
        <v>0.10084139030601998</v>
      </c>
      <c r="I26">
        <v>0.19622243933151065</v>
      </c>
      <c r="J26">
        <v>0.45951624529698115</v>
      </c>
      <c r="K26">
        <v>0.32493296044347031</v>
      </c>
      <c r="L26">
        <v>0.27287949857188359</v>
      </c>
      <c r="M26">
        <v>0.16125332731423725</v>
      </c>
      <c r="N26">
        <v>0.36259340988171801</v>
      </c>
      <c r="O26">
        <v>0.33634131773009401</v>
      </c>
      <c r="P26">
        <v>0.24992882129836916</v>
      </c>
      <c r="Q26">
        <v>0.32693655876228095</v>
      </c>
      <c r="R26">
        <v>0.29897556861122859</v>
      </c>
      <c r="T26" s="2" t="s">
        <v>35</v>
      </c>
    </row>
    <row r="27" spans="1:20" ht="18.75">
      <c r="A27">
        <v>2010</v>
      </c>
      <c r="B27">
        <v>0.3225185096734699</v>
      </c>
      <c r="C27">
        <v>0.34182942899986579</v>
      </c>
      <c r="D27">
        <v>0.42918102447989259</v>
      </c>
      <c r="E27">
        <v>0.34924399349521357</v>
      </c>
      <c r="F27">
        <v>0.25449086547526717</v>
      </c>
      <c r="G27">
        <v>0.36580878869573957</v>
      </c>
      <c r="H27">
        <v>0.10563180413590813</v>
      </c>
      <c r="I27">
        <v>0.19527702745886258</v>
      </c>
      <c r="J27">
        <v>0.4677017276416689</v>
      </c>
      <c r="K27">
        <v>0.32770434301206913</v>
      </c>
      <c r="L27">
        <v>0.2852488623642071</v>
      </c>
      <c r="M27">
        <v>0.17002790360713393</v>
      </c>
      <c r="N27">
        <v>0.36463263297444493</v>
      </c>
      <c r="O27">
        <v>0.3366415045740882</v>
      </c>
      <c r="P27">
        <v>0.25362999270056513</v>
      </c>
      <c r="Q27">
        <v>0.31591560616501979</v>
      </c>
      <c r="R27">
        <v>0.32763638996857908</v>
      </c>
      <c r="T27" s="2" t="s">
        <v>36</v>
      </c>
    </row>
    <row r="28" spans="1:20" ht="18.75">
      <c r="A28">
        <v>2011</v>
      </c>
      <c r="B28">
        <v>0.29982776757878349</v>
      </c>
      <c r="C28">
        <v>0.35935389364082776</v>
      </c>
      <c r="D28">
        <v>0.4056240782491991</v>
      </c>
      <c r="E28">
        <v>0.36183374072742308</v>
      </c>
      <c r="F28">
        <v>0.24722644688265347</v>
      </c>
      <c r="G28">
        <v>0.34004886704330084</v>
      </c>
      <c r="H28">
        <v>9.6132129666193319E-2</v>
      </c>
      <c r="I28">
        <v>0.20294495749357189</v>
      </c>
      <c r="J28">
        <v>0.46088681654823005</v>
      </c>
      <c r="K28">
        <v>0.28902911680624283</v>
      </c>
      <c r="L28">
        <v>0.28688886320227031</v>
      </c>
      <c r="M28">
        <v>0.12531864373831816</v>
      </c>
      <c r="N28">
        <v>0.37619640665497417</v>
      </c>
      <c r="O28">
        <v>0.28442219017463927</v>
      </c>
      <c r="P28">
        <v>0.26732063992397154</v>
      </c>
      <c r="Q28">
        <v>0.3019341570123294</v>
      </c>
      <c r="R28">
        <v>0.31930498355387843</v>
      </c>
      <c r="T28" s="2" t="s">
        <v>37</v>
      </c>
    </row>
    <row r="29" spans="1:20" ht="18.75">
      <c r="A29">
        <v>2012</v>
      </c>
      <c r="B29">
        <v>0.28920372272293038</v>
      </c>
      <c r="C29">
        <v>0.34933113792568798</v>
      </c>
      <c r="D29">
        <v>0.40366848458423304</v>
      </c>
      <c r="E29">
        <v>0.36557360006899908</v>
      </c>
      <c r="F29">
        <v>0.22944678754401215</v>
      </c>
      <c r="G29">
        <v>0.34492225147863759</v>
      </c>
      <c r="H29">
        <v>9.4033682234373014E-2</v>
      </c>
      <c r="I29">
        <v>0.20625053041066957</v>
      </c>
      <c r="J29">
        <v>0.45958082474865347</v>
      </c>
      <c r="K29">
        <v>0.30081131299177133</v>
      </c>
      <c r="L29">
        <v>0.28746528977750424</v>
      </c>
      <c r="M29">
        <v>0.11470668325489168</v>
      </c>
      <c r="N29">
        <v>0.37740965725053816</v>
      </c>
      <c r="O29">
        <v>0.28884409189636318</v>
      </c>
      <c r="P29">
        <v>225.42093746357398</v>
      </c>
      <c r="Q29">
        <v>0.3035829368652681</v>
      </c>
      <c r="R29">
        <v>0.30382098606140784</v>
      </c>
      <c r="T29" s="2" t="s">
        <v>38</v>
      </c>
    </row>
    <row r="30" spans="1:20" ht="18.75">
      <c r="T30" s="2" t="s">
        <v>39</v>
      </c>
    </row>
    <row r="31" spans="1:20" ht="18.75">
      <c r="T31" s="2" t="s">
        <v>40</v>
      </c>
    </row>
    <row r="32" spans="1:20" ht="18.75">
      <c r="T32" s="2" t="s">
        <v>41</v>
      </c>
    </row>
    <row r="33" spans="20:20" ht="18.75">
      <c r="T33" s="2" t="s">
        <v>42</v>
      </c>
    </row>
    <row r="34" spans="20:20" ht="18.75">
      <c r="T34" s="2" t="s">
        <v>43</v>
      </c>
    </row>
    <row r="35" spans="20:20" ht="18.75">
      <c r="T35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B1" sqref="B1:R1"/>
    </sheetView>
  </sheetViews>
  <sheetFormatPr defaultRowHeight="15.75"/>
  <sheetData>
    <row r="1" spans="1:18" ht="18.75"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  <c r="G1" s="2" t="s">
        <v>33</v>
      </c>
      <c r="H1" s="2" t="s">
        <v>34</v>
      </c>
      <c r="I1" s="2" t="s">
        <v>35</v>
      </c>
      <c r="J1" s="2" t="s">
        <v>36</v>
      </c>
      <c r="K1" s="2" t="s">
        <v>37</v>
      </c>
      <c r="L1" s="2" t="s">
        <v>38</v>
      </c>
      <c r="M1" s="2" t="s">
        <v>39</v>
      </c>
      <c r="N1" s="2" t="s">
        <v>40</v>
      </c>
      <c r="O1" s="2" t="s">
        <v>41</v>
      </c>
      <c r="P1" s="2" t="s">
        <v>42</v>
      </c>
      <c r="Q1" s="2" t="s">
        <v>43</v>
      </c>
      <c r="R1" s="2" t="s">
        <v>44</v>
      </c>
    </row>
    <row r="2" spans="1:18">
      <c r="A2">
        <v>1985</v>
      </c>
      <c r="B2">
        <v>0.67633207208544077</v>
      </c>
      <c r="C2">
        <v>0.77199827983158642</v>
      </c>
      <c r="D2">
        <v>0.72658454923911442</v>
      </c>
      <c r="E2">
        <v>0.70952646927741825</v>
      </c>
      <c r="F2">
        <v>0.68092794787160615</v>
      </c>
      <c r="G2">
        <v>0.62708800971537582</v>
      </c>
      <c r="H2">
        <v>0.61096066971918761</v>
      </c>
      <c r="I2">
        <v>0.68583068325258001</v>
      </c>
      <c r="J2">
        <v>0.69605567048832662</v>
      </c>
      <c r="K2">
        <v>0.81505264077707851</v>
      </c>
      <c r="L2">
        <v>0.63114175286921992</v>
      </c>
      <c r="M2">
        <v>0.84252807999166002</v>
      </c>
      <c r="N2">
        <v>0.6069759421176476</v>
      </c>
      <c r="O2">
        <v>0.67524120759086514</v>
      </c>
      <c r="P2">
        <v>0.80987936586964604</v>
      </c>
      <c r="Q2">
        <v>0.59885161069682402</v>
      </c>
      <c r="R2">
        <v>0.65689999799901511</v>
      </c>
    </row>
    <row r="3" spans="1:18">
      <c r="A3">
        <v>1986</v>
      </c>
      <c r="B3">
        <v>0.64023332713516112</v>
      </c>
      <c r="C3">
        <v>0.73630105878846452</v>
      </c>
      <c r="D3">
        <v>0.67776081623733253</v>
      </c>
      <c r="E3">
        <v>0.67545160166934848</v>
      </c>
      <c r="F3">
        <v>0.63682627676743175</v>
      </c>
      <c r="G3">
        <v>0.58988613925441036</v>
      </c>
      <c r="H3">
        <v>0.57782467512135771</v>
      </c>
      <c r="I3">
        <v>0.63379553860995186</v>
      </c>
      <c r="J3">
        <v>0.6616289136328446</v>
      </c>
      <c r="K3">
        <v>0.79219707225568603</v>
      </c>
      <c r="L3">
        <v>0.57062342521609644</v>
      </c>
      <c r="M3">
        <v>0.76764122237285048</v>
      </c>
      <c r="N3">
        <v>0.58451493560448553</v>
      </c>
      <c r="O3">
        <v>0.64743606500294548</v>
      </c>
      <c r="P3">
        <v>0.77469884346937989</v>
      </c>
      <c r="Q3">
        <v>0.5471981046492268</v>
      </c>
      <c r="R3">
        <v>0.60613247847661178</v>
      </c>
    </row>
    <row r="4" spans="1:18">
      <c r="A4">
        <v>1987</v>
      </c>
      <c r="B4">
        <v>0.64269148458132885</v>
      </c>
      <c r="C4">
        <v>0.7436332693435429</v>
      </c>
      <c r="D4">
        <v>0.68527224777767304</v>
      </c>
      <c r="E4">
        <v>0.67021810002519366</v>
      </c>
      <c r="F4">
        <v>0.63544667392104814</v>
      </c>
      <c r="G4">
        <v>0.58939496256960522</v>
      </c>
      <c r="H4">
        <v>0.58004415929911834</v>
      </c>
      <c r="I4">
        <v>0.66445169854023578</v>
      </c>
      <c r="J4">
        <v>0.6548138685806002</v>
      </c>
      <c r="K4">
        <v>0.77728480696683044</v>
      </c>
      <c r="L4">
        <v>0.55620355109260433</v>
      </c>
      <c r="M4">
        <v>0.74646056814563988</v>
      </c>
      <c r="N4">
        <v>0.5880386555081315</v>
      </c>
      <c r="O4">
        <v>0.64594563922192283</v>
      </c>
      <c r="P4">
        <v>0.7646785175009928</v>
      </c>
      <c r="Q4">
        <v>0.56028957886262909</v>
      </c>
      <c r="R4">
        <v>0.60795817347118764</v>
      </c>
    </row>
    <row r="5" spans="1:18">
      <c r="A5">
        <v>1988</v>
      </c>
      <c r="B5">
        <v>0.65881005020398631</v>
      </c>
      <c r="C5">
        <v>0.77552481852577049</v>
      </c>
      <c r="D5">
        <v>0.68581799296952284</v>
      </c>
      <c r="E5">
        <v>0.66840698892560102</v>
      </c>
      <c r="F5">
        <v>0.64947835862218606</v>
      </c>
      <c r="G5">
        <v>0.60573521728060664</v>
      </c>
      <c r="H5">
        <v>0.58155384613887617</v>
      </c>
      <c r="I5">
        <v>0.68510991911564023</v>
      </c>
      <c r="J5">
        <v>0.6719482247949945</v>
      </c>
      <c r="K5">
        <v>0.78971361501841619</v>
      </c>
      <c r="L5">
        <v>0.55550142070558961</v>
      </c>
      <c r="M5">
        <v>0.73736224312301513</v>
      </c>
      <c r="N5">
        <v>0.59808379779466381</v>
      </c>
      <c r="O5">
        <v>0.64602023120848284</v>
      </c>
      <c r="P5">
        <v>0.7712302386682478</v>
      </c>
      <c r="Q5">
        <v>0.5509141616332387</v>
      </c>
      <c r="R5">
        <v>0.60785662680220864</v>
      </c>
    </row>
    <row r="6" spans="1:18">
      <c r="A6">
        <v>1989</v>
      </c>
      <c r="B6">
        <v>0.6753438329936684</v>
      </c>
      <c r="C6">
        <v>0.79614465726296013</v>
      </c>
      <c r="D6">
        <v>0.68434098349407479</v>
      </c>
      <c r="E6">
        <v>0.68119135362551775</v>
      </c>
      <c r="F6">
        <v>0.68104634613204829</v>
      </c>
      <c r="G6">
        <v>0.63134739500433223</v>
      </c>
      <c r="H6">
        <v>0.59675977870497154</v>
      </c>
      <c r="I6">
        <v>0.71355805611782952</v>
      </c>
      <c r="J6">
        <v>0.69365352092673083</v>
      </c>
      <c r="K6">
        <v>0.80370799658673364</v>
      </c>
      <c r="L6">
        <v>0.5648636624830462</v>
      </c>
      <c r="M6">
        <v>0.76005118392299265</v>
      </c>
      <c r="N6">
        <v>0.6056472408250626</v>
      </c>
      <c r="O6">
        <v>0.6621524358880555</v>
      </c>
      <c r="P6">
        <v>0.78524027474581493</v>
      </c>
      <c r="Q6">
        <v>0.56100008131467505</v>
      </c>
      <c r="R6">
        <v>0.62740485721844974</v>
      </c>
    </row>
    <row r="7" spans="1:18">
      <c r="A7">
        <v>1990</v>
      </c>
      <c r="B7">
        <v>0.67311311330395507</v>
      </c>
      <c r="C7">
        <v>0.77761259890376788</v>
      </c>
      <c r="D7">
        <v>0.65627218729766057</v>
      </c>
      <c r="E7">
        <v>0.67756080334268554</v>
      </c>
      <c r="F7">
        <v>0.65454976002283094</v>
      </c>
      <c r="G7">
        <v>0.63114432814128929</v>
      </c>
      <c r="H7">
        <v>0.59437724143780557</v>
      </c>
      <c r="I7">
        <v>0.7058754475125153</v>
      </c>
      <c r="J7">
        <v>0.68268559679271545</v>
      </c>
      <c r="K7">
        <v>0.78706963744949476</v>
      </c>
      <c r="L7">
        <v>0.54298090944464572</v>
      </c>
      <c r="M7">
        <v>0.75173509324104948</v>
      </c>
      <c r="N7">
        <v>0.59225073614812096</v>
      </c>
      <c r="O7">
        <v>0.63376501506261607</v>
      </c>
      <c r="P7">
        <v>0.76282635429635059</v>
      </c>
      <c r="Q7">
        <v>0.55405889617542181</v>
      </c>
      <c r="R7">
        <v>0.62037332986879912</v>
      </c>
    </row>
    <row r="8" spans="1:18">
      <c r="A8">
        <v>1991</v>
      </c>
      <c r="B8">
        <v>0.65409249758027987</v>
      </c>
      <c r="C8">
        <v>0.74906062476683155</v>
      </c>
      <c r="D8">
        <v>0.62173955639217382</v>
      </c>
      <c r="E8">
        <v>0.66907238462799912</v>
      </c>
      <c r="F8">
        <v>0.6004452918808153</v>
      </c>
      <c r="G8">
        <v>0.62839050827451037</v>
      </c>
      <c r="H8">
        <v>0.57974882600699063</v>
      </c>
      <c r="I8">
        <v>0.68825364266149391</v>
      </c>
      <c r="J8">
        <v>0.69122410751627361</v>
      </c>
      <c r="K8">
        <v>0.77440019508412095</v>
      </c>
      <c r="L8">
        <v>0.53328898728562435</v>
      </c>
      <c r="M8">
        <v>0.74969661430196199</v>
      </c>
      <c r="N8">
        <v>0.58477382869083117</v>
      </c>
      <c r="O8">
        <v>0.59764991739721329</v>
      </c>
      <c r="P8">
        <v>0.73250927946027822</v>
      </c>
      <c r="Q8">
        <v>0.53193696436568383</v>
      </c>
      <c r="R8">
        <v>0.60573502121040568</v>
      </c>
    </row>
    <row r="9" spans="1:18">
      <c r="A9">
        <v>1992</v>
      </c>
      <c r="B9">
        <v>0.64374648141247082</v>
      </c>
      <c r="C9">
        <v>0.75281180386006963</v>
      </c>
      <c r="D9">
        <v>0.614908342212796</v>
      </c>
      <c r="E9">
        <v>0.66747034646215386</v>
      </c>
      <c r="F9">
        <v>0.59843273259046248</v>
      </c>
      <c r="G9">
        <v>0.62744338127256338</v>
      </c>
      <c r="H9">
        <v>0.5742947163442399</v>
      </c>
      <c r="I9">
        <v>0.70167539118881861</v>
      </c>
      <c r="J9">
        <v>0.67429023673912225</v>
      </c>
      <c r="K9">
        <v>0.77254191226579183</v>
      </c>
      <c r="L9">
        <v>0.54219477233692126</v>
      </c>
      <c r="M9">
        <v>0.74257433657798844</v>
      </c>
      <c r="N9">
        <v>0.57798999088242109</v>
      </c>
      <c r="O9">
        <v>0.58602837397580421</v>
      </c>
      <c r="P9">
        <v>0.71766676974251264</v>
      </c>
      <c r="Q9">
        <v>0.52978267764391507</v>
      </c>
      <c r="R9">
        <v>0.60632711511380877</v>
      </c>
    </row>
    <row r="10" spans="1:18">
      <c r="A10">
        <v>1993</v>
      </c>
      <c r="B10">
        <v>0.62483225107288998</v>
      </c>
      <c r="C10">
        <v>0.78019701122714624</v>
      </c>
      <c r="D10">
        <v>0.6239927371450581</v>
      </c>
      <c r="E10">
        <v>0.63699427359954341</v>
      </c>
      <c r="F10">
        <v>0.59808746068257779</v>
      </c>
      <c r="G10">
        <v>0.6056240616122659</v>
      </c>
      <c r="H10">
        <v>0.57571826427349859</v>
      </c>
      <c r="I10">
        <v>0.7126909638624106</v>
      </c>
      <c r="J10">
        <v>0.63071501022412713</v>
      </c>
      <c r="K10">
        <v>0.73642010345652842</v>
      </c>
      <c r="L10">
        <v>0.56690961210863711</v>
      </c>
      <c r="M10">
        <v>0.73400457596525215</v>
      </c>
      <c r="N10">
        <v>0.57077855298573199</v>
      </c>
      <c r="O10">
        <v>0.62582507598568793</v>
      </c>
      <c r="P10">
        <v>0.69139874064212015</v>
      </c>
      <c r="Q10">
        <v>0.55471870814399971</v>
      </c>
      <c r="R10">
        <v>0.60500218800194616</v>
      </c>
    </row>
    <row r="11" spans="1:18">
      <c r="A11">
        <v>1994</v>
      </c>
      <c r="B11">
        <v>0.60336102715911211</v>
      </c>
      <c r="C11">
        <v>0.76454616627722694</v>
      </c>
      <c r="D11">
        <v>0.62214552430947079</v>
      </c>
      <c r="E11">
        <v>0.62487817801956136</v>
      </c>
      <c r="F11">
        <v>0.60168460121651768</v>
      </c>
      <c r="G11">
        <v>0.60473335941044826</v>
      </c>
      <c r="H11">
        <v>0.56859320621052956</v>
      </c>
      <c r="I11">
        <v>0.69479761729808309</v>
      </c>
      <c r="J11">
        <v>0.60845438865292445</v>
      </c>
      <c r="K11">
        <v>0.74509859155829694</v>
      </c>
      <c r="L11">
        <v>0.56143467398390323</v>
      </c>
      <c r="M11">
        <v>0.73942102088162454</v>
      </c>
      <c r="N11">
        <v>0.56685252797384766</v>
      </c>
      <c r="O11">
        <v>0.6358980105036246</v>
      </c>
      <c r="P11">
        <v>0.67000580452497305</v>
      </c>
      <c r="Q11">
        <v>0.54957803591554688</v>
      </c>
      <c r="R11">
        <v>0.59330481844817973</v>
      </c>
    </row>
    <row r="12" spans="1:18">
      <c r="A12">
        <v>1995</v>
      </c>
      <c r="B12">
        <v>0.59194268167226194</v>
      </c>
      <c r="C12">
        <v>0.74146114612284031</v>
      </c>
      <c r="D12">
        <v>0.60539276245339646</v>
      </c>
      <c r="E12">
        <v>0.60676990054043978</v>
      </c>
      <c r="F12">
        <v>0.58888346209130249</v>
      </c>
      <c r="G12">
        <v>0.57827255578302539</v>
      </c>
      <c r="H12">
        <v>0.56282679871354779</v>
      </c>
      <c r="I12">
        <v>0.70760499438726898</v>
      </c>
      <c r="J12">
        <v>0.58551677511537392</v>
      </c>
      <c r="K12">
        <v>0.72273302081327628</v>
      </c>
      <c r="L12">
        <v>0.5357806555429826</v>
      </c>
      <c r="M12">
        <v>0.7101672060350257</v>
      </c>
      <c r="N12">
        <v>0.55228900126476221</v>
      </c>
      <c r="O12">
        <v>0.63757160754273912</v>
      </c>
      <c r="P12">
        <v>0.63911309762267587</v>
      </c>
      <c r="Q12">
        <v>0.52514981744649414</v>
      </c>
      <c r="R12">
        <v>0.55886353496207086</v>
      </c>
    </row>
    <row r="13" spans="1:18">
      <c r="A13">
        <v>1996</v>
      </c>
      <c r="B13">
        <v>0.59559117046849497</v>
      </c>
      <c r="C13">
        <v>0.74687808219027163</v>
      </c>
      <c r="D13">
        <v>0.613040826000533</v>
      </c>
      <c r="E13">
        <v>0.62178898576684061</v>
      </c>
      <c r="F13">
        <v>0.59543725132950509</v>
      </c>
      <c r="G13">
        <v>0.57622108074365941</v>
      </c>
      <c r="H13">
        <v>0.56597764369156822</v>
      </c>
      <c r="I13">
        <v>0.73268999661756595</v>
      </c>
      <c r="J13">
        <v>0.59157514036178072</v>
      </c>
      <c r="K13">
        <v>0.72840667712686546</v>
      </c>
      <c r="L13">
        <v>0.53685506878132694</v>
      </c>
      <c r="M13">
        <v>0.73225325031394251</v>
      </c>
      <c r="N13">
        <v>0.56650063365691661</v>
      </c>
      <c r="O13">
        <v>0.64610594891766937</v>
      </c>
      <c r="P13">
        <v>0.63577515841366983</v>
      </c>
      <c r="Q13">
        <v>0.53547337848773735</v>
      </c>
      <c r="R13">
        <v>0.56897351265992402</v>
      </c>
    </row>
    <row r="14" spans="1:18">
      <c r="A14">
        <v>1997</v>
      </c>
      <c r="B14">
        <v>0.58962508891563681</v>
      </c>
      <c r="C14">
        <v>0.78326769285436237</v>
      </c>
      <c r="D14">
        <v>0.62096173873721938</v>
      </c>
      <c r="E14">
        <v>0.62374652513357576</v>
      </c>
      <c r="F14">
        <v>0.61210932277132357</v>
      </c>
      <c r="G14">
        <v>0.57351560783585687</v>
      </c>
      <c r="H14">
        <v>0.55522721502154981</v>
      </c>
      <c r="I14">
        <v>0.78304963489439627</v>
      </c>
      <c r="J14">
        <v>0.57415378295125774</v>
      </c>
      <c r="K14">
        <v>0.74224374602562093</v>
      </c>
      <c r="L14">
        <v>0.52380535583701171</v>
      </c>
      <c r="M14">
        <v>0.74629986090161937</v>
      </c>
      <c r="N14">
        <v>0.563142801952764</v>
      </c>
      <c r="O14">
        <v>0.66331213881050777</v>
      </c>
      <c r="P14">
        <v>0.64257404800923934</v>
      </c>
      <c r="Q14">
        <v>0.52681961973832003</v>
      </c>
      <c r="R14">
        <v>0.55969667102879928</v>
      </c>
    </row>
    <row r="15" spans="1:18">
      <c r="A15">
        <v>1998</v>
      </c>
      <c r="B15">
        <v>0.56221544671673784</v>
      </c>
      <c r="C15">
        <v>0.71352485051443493</v>
      </c>
      <c r="D15">
        <v>0.582340991614959</v>
      </c>
      <c r="E15">
        <v>0.58192252366926145</v>
      </c>
      <c r="F15">
        <v>0.58152213390194074</v>
      </c>
      <c r="G15">
        <v>0.55120553734972055</v>
      </c>
      <c r="H15">
        <v>0.52166626632274626</v>
      </c>
      <c r="I15">
        <v>0.69541499542894714</v>
      </c>
      <c r="J15">
        <v>0.53730923360034699</v>
      </c>
      <c r="K15">
        <v>0.66615772167248855</v>
      </c>
      <c r="L15">
        <v>0.48626656680863906</v>
      </c>
      <c r="M15">
        <v>0.67915847790037853</v>
      </c>
      <c r="N15">
        <v>0.51891411668353626</v>
      </c>
      <c r="O15">
        <v>0.64927549677442475</v>
      </c>
      <c r="P15">
        <v>0.59305883191324427</v>
      </c>
      <c r="Q15">
        <v>0.49529296358402108</v>
      </c>
      <c r="R15">
        <v>0.54687790236287703</v>
      </c>
    </row>
    <row r="16" spans="1:18">
      <c r="A16">
        <v>1999</v>
      </c>
      <c r="B16">
        <v>0.51546027140769357</v>
      </c>
      <c r="C16">
        <v>0.65215862169717465</v>
      </c>
      <c r="D16">
        <v>0.54694306663389203</v>
      </c>
      <c r="E16">
        <v>0.54239239070357537</v>
      </c>
      <c r="F16">
        <v>0.52170571693165024</v>
      </c>
      <c r="G16">
        <v>0.51933029350458593</v>
      </c>
      <c r="H16">
        <v>0.48362927466882977</v>
      </c>
      <c r="I16">
        <v>0.60096652728159305</v>
      </c>
      <c r="J16">
        <v>0.47199766043221852</v>
      </c>
      <c r="K16">
        <v>0.5989413462794636</v>
      </c>
      <c r="L16">
        <v>0.45990263537753212</v>
      </c>
      <c r="M16">
        <v>0.61152704014373149</v>
      </c>
      <c r="N16">
        <v>0.48090050244163679</v>
      </c>
      <c r="O16">
        <v>0.60620158006103952</v>
      </c>
      <c r="P16">
        <v>0.53216443364267418</v>
      </c>
      <c r="Q16">
        <v>0.4830196132213101</v>
      </c>
      <c r="R16">
        <v>0.5325873131330755</v>
      </c>
    </row>
    <row r="17" spans="1:18">
      <c r="A17">
        <v>2000</v>
      </c>
      <c r="B17">
        <v>0.58833411877253849</v>
      </c>
      <c r="C17">
        <v>0.73648121351232099</v>
      </c>
      <c r="D17">
        <v>0.61801798448471701</v>
      </c>
      <c r="E17">
        <v>0.62880925673321109</v>
      </c>
      <c r="F17">
        <v>0.62375747268280379</v>
      </c>
      <c r="G17">
        <v>0.56564580784935115</v>
      </c>
      <c r="H17">
        <v>0.53927070897172924</v>
      </c>
      <c r="I17">
        <v>0.73516486756837462</v>
      </c>
      <c r="J17">
        <v>0.54429535915149863</v>
      </c>
      <c r="K17">
        <v>0.68198117531438796</v>
      </c>
      <c r="L17">
        <v>0.51994150007984341</v>
      </c>
      <c r="M17">
        <v>0.7309060898491947</v>
      </c>
      <c r="N17">
        <v>0.54162265845128499</v>
      </c>
      <c r="O17">
        <v>0.67000993855220425</v>
      </c>
      <c r="P17">
        <v>0.61251502976130967</v>
      </c>
      <c r="Q17">
        <v>0.5105042614222659</v>
      </c>
      <c r="R17">
        <v>0.5560943141205642</v>
      </c>
    </row>
    <row r="18" spans="1:18">
      <c r="A18">
        <v>2001</v>
      </c>
      <c r="B18">
        <v>0.60899406430813052</v>
      </c>
      <c r="C18">
        <v>0.77053337231697461</v>
      </c>
      <c r="D18">
        <v>0.631177167960143</v>
      </c>
      <c r="E18">
        <v>0.65198578007474894</v>
      </c>
      <c r="F18">
        <v>0.64723098878671048</v>
      </c>
      <c r="G18">
        <v>0.57269896377216289</v>
      </c>
      <c r="H18">
        <v>0.55803550361446141</v>
      </c>
      <c r="I18">
        <v>0.77801899845328526</v>
      </c>
      <c r="J18">
        <v>0.54948837815773699</v>
      </c>
      <c r="K18">
        <v>0.69828283709711492</v>
      </c>
      <c r="L18">
        <v>0.54271426586484606</v>
      </c>
      <c r="M18">
        <v>0.74316256724883056</v>
      </c>
      <c r="N18">
        <v>0.56289811975833814</v>
      </c>
      <c r="O18">
        <v>0.67917377531993461</v>
      </c>
      <c r="P18">
        <v>0.62656161530923193</v>
      </c>
      <c r="Q18">
        <v>0.51774351760600223</v>
      </c>
      <c r="R18">
        <v>0.55186461027455935</v>
      </c>
    </row>
    <row r="19" spans="1:18">
      <c r="A19">
        <v>2002</v>
      </c>
      <c r="B19">
        <v>0.60255514912566699</v>
      </c>
      <c r="C19">
        <v>0.752828442335571</v>
      </c>
      <c r="D19">
        <v>0.60544582340247199</v>
      </c>
      <c r="E19">
        <v>0.62185469986924269</v>
      </c>
      <c r="F19">
        <v>0.6235183659011575</v>
      </c>
      <c r="G19">
        <v>0.55057679745662358</v>
      </c>
      <c r="H19">
        <v>0.54144587333342942</v>
      </c>
      <c r="I19">
        <v>0.77428256834769893</v>
      </c>
      <c r="J19">
        <v>0.52934007816321305</v>
      </c>
      <c r="K19">
        <v>0.66301146120742427</v>
      </c>
      <c r="L19">
        <v>0.52875216834985372</v>
      </c>
      <c r="M19">
        <v>0.70174499483910846</v>
      </c>
      <c r="N19">
        <v>0.54761526342532718</v>
      </c>
      <c r="O19">
        <v>0.64853380140933448</v>
      </c>
      <c r="P19">
        <v>0.60312387644617405</v>
      </c>
      <c r="Q19">
        <v>0.49968719997170408</v>
      </c>
      <c r="R19">
        <v>0.53028535405529043</v>
      </c>
    </row>
    <row r="20" spans="1:18">
      <c r="A20">
        <v>2003</v>
      </c>
      <c r="B20">
        <v>0.59470377613615433</v>
      </c>
      <c r="C20">
        <v>0.74744868623295202</v>
      </c>
      <c r="D20">
        <v>0.59592714221110776</v>
      </c>
      <c r="E20">
        <v>0.61000385851968308</v>
      </c>
      <c r="F20">
        <v>0.61043059527340116</v>
      </c>
      <c r="G20">
        <v>0.53763201308502484</v>
      </c>
      <c r="H20">
        <v>0.52398301351310794</v>
      </c>
      <c r="I20">
        <v>0.75586101323704469</v>
      </c>
      <c r="J20">
        <v>0.52567295326996877</v>
      </c>
      <c r="K20">
        <v>0.65139212303835292</v>
      </c>
      <c r="L20">
        <v>0.52234870288610968</v>
      </c>
      <c r="M20">
        <v>0.69018741402590156</v>
      </c>
      <c r="N20">
        <v>0.54047691839483203</v>
      </c>
      <c r="O20">
        <v>0.6336245564864903</v>
      </c>
      <c r="P20">
        <v>0.59044314290923883</v>
      </c>
      <c r="Q20">
        <v>0.50039202124679572</v>
      </c>
      <c r="R20">
        <v>0.53011601506778316</v>
      </c>
    </row>
    <row r="21" spans="1:18">
      <c r="A21">
        <v>2004</v>
      </c>
      <c r="B21">
        <v>0.62464525564106443</v>
      </c>
      <c r="C21">
        <v>0.70784368003406251</v>
      </c>
      <c r="D21">
        <v>0.63231329574273498</v>
      </c>
      <c r="E21">
        <v>0.64801655799561575</v>
      </c>
      <c r="F21">
        <v>0.62097562876757972</v>
      </c>
      <c r="G21">
        <v>0.57959755801121593</v>
      </c>
      <c r="H21">
        <v>0.55401462666618484</v>
      </c>
      <c r="I21">
        <v>0.78305329119991429</v>
      </c>
      <c r="J21">
        <v>0.55862589783941274</v>
      </c>
      <c r="K21">
        <v>0.69607340138394902</v>
      </c>
      <c r="L21">
        <v>0.55904443843093843</v>
      </c>
      <c r="M21">
        <v>0.74883835904583762</v>
      </c>
      <c r="N21">
        <v>0.57477387132826407</v>
      </c>
      <c r="O21">
        <v>0.62585371035730164</v>
      </c>
      <c r="P21">
        <v>0.61768291999885017</v>
      </c>
      <c r="Q21">
        <v>0.53616976702726815</v>
      </c>
      <c r="R21">
        <v>0.56416020218665186</v>
      </c>
    </row>
    <row r="22" spans="1:18">
      <c r="A22">
        <v>2005</v>
      </c>
      <c r="B22">
        <v>0.62442356875990612</v>
      </c>
      <c r="C22">
        <v>0.71230641417884122</v>
      </c>
      <c r="D22">
        <v>0.61487681331519062</v>
      </c>
      <c r="E22">
        <v>0.65432786677114874</v>
      </c>
      <c r="F22">
        <v>0.61958964355702673</v>
      </c>
      <c r="G22">
        <v>0.58003539211739563</v>
      </c>
      <c r="H22">
        <v>0.53704368309849992</v>
      </c>
      <c r="I22">
        <v>0.77928890605282286</v>
      </c>
      <c r="J22">
        <v>0.54504607451502485</v>
      </c>
      <c r="K22">
        <v>0.70271872822375947</v>
      </c>
      <c r="L22">
        <v>0.55385242548739744</v>
      </c>
      <c r="M22">
        <v>0.75856755147420929</v>
      </c>
      <c r="N22">
        <v>0.57578479192609422</v>
      </c>
      <c r="O22">
        <v>0.62952879163343234</v>
      </c>
      <c r="P22">
        <v>0.62148360917611545</v>
      </c>
      <c r="Q22">
        <v>0.53399343364255802</v>
      </c>
      <c r="R22">
        <v>0.55704903546053453</v>
      </c>
    </row>
    <row r="23" spans="1:18">
      <c r="A23">
        <v>2006</v>
      </c>
      <c r="B23">
        <v>0.55882093752378614</v>
      </c>
      <c r="C23">
        <v>0.60581228440780754</v>
      </c>
      <c r="D23">
        <v>0.57038887195441423</v>
      </c>
      <c r="E23">
        <v>0.5882900593881466</v>
      </c>
      <c r="F23">
        <v>0.57628977051419039</v>
      </c>
      <c r="G23">
        <v>0.55895636929028913</v>
      </c>
      <c r="H23">
        <v>0.51289239876654213</v>
      </c>
      <c r="I23">
        <v>0.66457693070276036</v>
      </c>
      <c r="J23">
        <v>0.54120966817813887</v>
      </c>
      <c r="K23">
        <v>0.61490571820040152</v>
      </c>
      <c r="L23">
        <v>0.51467980685715264</v>
      </c>
      <c r="M23">
        <v>0.72341751073730209</v>
      </c>
      <c r="N23">
        <v>0.55298934015862555</v>
      </c>
      <c r="O23">
        <v>0.57967744604402871</v>
      </c>
      <c r="P23">
        <v>0.57537980718274906</v>
      </c>
      <c r="Q23">
        <v>0.49177793633413619</v>
      </c>
      <c r="R23">
        <v>0.55400214165393846</v>
      </c>
    </row>
    <row r="24" spans="1:18">
      <c r="A24">
        <v>2007</v>
      </c>
      <c r="B24">
        <v>0.6425574648429484</v>
      </c>
      <c r="C24">
        <v>0.73041394044251484</v>
      </c>
      <c r="D24">
        <v>0.60098654559472742</v>
      </c>
      <c r="E24">
        <v>0.64862254224999694</v>
      </c>
      <c r="F24">
        <v>0.64092111318744027</v>
      </c>
      <c r="G24">
        <v>0.58631951399876092</v>
      </c>
      <c r="H24">
        <v>0.53989820561215318</v>
      </c>
      <c r="I24">
        <v>0.77519708819870392</v>
      </c>
      <c r="J24">
        <v>0.54786129689393215</v>
      </c>
      <c r="K24">
        <v>0.73146352767861289</v>
      </c>
      <c r="L24">
        <v>0.54909792816530845</v>
      </c>
      <c r="M24">
        <v>0.75762621227298699</v>
      </c>
      <c r="N24">
        <v>0.57819893579402748</v>
      </c>
      <c r="O24">
        <v>0.64474839677469808</v>
      </c>
      <c r="P24">
        <v>0.6503804767957192</v>
      </c>
      <c r="Q24">
        <v>0.52026083665116762</v>
      </c>
      <c r="R24">
        <v>0.55135199161602688</v>
      </c>
    </row>
    <row r="25" spans="1:18">
      <c r="A25">
        <v>2008</v>
      </c>
      <c r="B25">
        <v>0.65459214680495326</v>
      </c>
      <c r="C25">
        <v>0.74465133557204499</v>
      </c>
      <c r="D25">
        <v>0.60515258452261789</v>
      </c>
      <c r="E25">
        <v>0.65891689598961667</v>
      </c>
      <c r="F25">
        <v>0.64030694052685588</v>
      </c>
      <c r="G25">
        <v>0.59081642122292233</v>
      </c>
      <c r="H25">
        <v>0.53666005577598686</v>
      </c>
      <c r="I25">
        <v>0.77516981339186242</v>
      </c>
      <c r="J25">
        <v>0.54401130849664925</v>
      </c>
      <c r="K25">
        <v>0.75936421156522604</v>
      </c>
      <c r="L25">
        <v>0.54551081382128475</v>
      </c>
      <c r="M25">
        <v>0.76557537234485684</v>
      </c>
      <c r="N25">
        <v>0.58278608400771159</v>
      </c>
      <c r="O25">
        <v>0.64993130360927553</v>
      </c>
      <c r="P25">
        <v>0.66096098274427095</v>
      </c>
      <c r="Q25">
        <v>0.53201144302241399</v>
      </c>
      <c r="R25">
        <v>0.54872261638337794</v>
      </c>
    </row>
    <row r="26" spans="1:18">
      <c r="A26">
        <v>2009</v>
      </c>
      <c r="B26">
        <v>0.65067021562202598</v>
      </c>
      <c r="C26">
        <v>0.69697017923234406</v>
      </c>
      <c r="D26">
        <v>0.56212643995967615</v>
      </c>
      <c r="E26">
        <v>0.60912786517076956</v>
      </c>
      <c r="F26">
        <v>0.5746627111457836</v>
      </c>
      <c r="G26">
        <v>0.56271841380881416</v>
      </c>
      <c r="H26">
        <v>0.50395436773740954</v>
      </c>
      <c r="I26">
        <v>0.79530792009275741</v>
      </c>
      <c r="J26">
        <v>0.51001592995456246</v>
      </c>
      <c r="K26">
        <v>0.71810398346386783</v>
      </c>
      <c r="L26">
        <v>0.55170843070291964</v>
      </c>
      <c r="M26">
        <v>0.7082006570348317</v>
      </c>
      <c r="N26">
        <v>0.56411907483722346</v>
      </c>
      <c r="O26">
        <v>0.6077409040099373</v>
      </c>
      <c r="P26">
        <v>0.63292095186348785</v>
      </c>
      <c r="Q26">
        <v>0.5206507045931893</v>
      </c>
      <c r="R26">
        <v>0.53599252307743372</v>
      </c>
    </row>
    <row r="27" spans="1:18">
      <c r="A27">
        <v>2010</v>
      </c>
      <c r="B27">
        <v>0.61329771081724394</v>
      </c>
      <c r="C27">
        <v>0.69659382459099339</v>
      </c>
      <c r="D27">
        <v>0.56813055348121777</v>
      </c>
      <c r="E27">
        <v>0.61789481127326118</v>
      </c>
      <c r="F27">
        <v>0.57557086194727258</v>
      </c>
      <c r="G27">
        <v>0.56224363406842348</v>
      </c>
      <c r="H27">
        <v>0.50790235917930693</v>
      </c>
      <c r="I27">
        <v>0.80433328115906233</v>
      </c>
      <c r="J27">
        <v>0.52108255172498197</v>
      </c>
      <c r="K27">
        <v>0.73020093642341866</v>
      </c>
      <c r="L27">
        <v>0.53227619597759246</v>
      </c>
      <c r="M27">
        <v>0.70384861535361642</v>
      </c>
      <c r="N27">
        <v>0.57373453953715969</v>
      </c>
      <c r="O27">
        <v>0.61182415011790503</v>
      </c>
      <c r="P27">
        <v>0.62880821211030102</v>
      </c>
      <c r="Q27">
        <v>0.52588274081716391</v>
      </c>
      <c r="R27">
        <v>0.53425293076563463</v>
      </c>
    </row>
    <row r="28" spans="1:18">
      <c r="A28">
        <v>2011</v>
      </c>
      <c r="B28">
        <v>0.63880890220735176</v>
      </c>
      <c r="C28">
        <v>0.67920860639538505</v>
      </c>
      <c r="D28">
        <v>0.55444904700599973</v>
      </c>
      <c r="E28">
        <v>0.59426186719225405</v>
      </c>
      <c r="F28">
        <v>0.55679011507025844</v>
      </c>
      <c r="G28">
        <v>0.53702438581021916</v>
      </c>
      <c r="H28">
        <v>0.49189426790961677</v>
      </c>
      <c r="I28">
        <v>0.80200849762253756</v>
      </c>
      <c r="J28">
        <v>0.48348776923674303</v>
      </c>
      <c r="K28">
        <v>0.74231455117571088</v>
      </c>
      <c r="L28">
        <v>0.503189597705337</v>
      </c>
      <c r="M28">
        <v>0.70060119219400219</v>
      </c>
      <c r="N28">
        <v>0.56795509056884341</v>
      </c>
      <c r="O28">
        <v>0.59613420233177372</v>
      </c>
      <c r="P28">
        <v>0.61833186858230405</v>
      </c>
      <c r="Q28">
        <v>0.48909940649766326</v>
      </c>
      <c r="R28">
        <v>0.52125234534936093</v>
      </c>
    </row>
    <row r="29" spans="1:18">
      <c r="A29">
        <v>2012</v>
      </c>
      <c r="B29">
        <v>0.64130200156499217</v>
      </c>
      <c r="C29">
        <v>0.6872402965017681</v>
      </c>
      <c r="D29">
        <v>0.56058091397498233</v>
      </c>
      <c r="E29">
        <v>0.59574724640992727</v>
      </c>
      <c r="F29">
        <v>0.55620635502318383</v>
      </c>
      <c r="G29">
        <v>0.53555663332435499</v>
      </c>
      <c r="H29">
        <v>0.48771359824172106</v>
      </c>
      <c r="I29">
        <v>0.82103072929073118</v>
      </c>
      <c r="J29">
        <v>0.48181546463833103</v>
      </c>
      <c r="K29">
        <v>0.75458950968015193</v>
      </c>
      <c r="L29">
        <v>0.50592369452924268</v>
      </c>
      <c r="M29">
        <v>0.69977850792690832</v>
      </c>
      <c r="N29">
        <v>0.57007084077487957</v>
      </c>
      <c r="O29">
        <v>0.60228030608093241</v>
      </c>
      <c r="P29">
        <v>0.62264878777539345</v>
      </c>
      <c r="Q29">
        <v>0.48538329086220983</v>
      </c>
      <c r="R29">
        <v>0.52973157071220378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5"/>
  <sheetViews>
    <sheetView topLeftCell="X1" workbookViewId="0">
      <selection activeCell="AN2" sqref="AN2:AN35"/>
    </sheetView>
  </sheetViews>
  <sheetFormatPr defaultColWidth="11" defaultRowHeight="15.75"/>
  <sheetData>
    <row r="2" spans="1:40" ht="18.75">
      <c r="A2" s="7">
        <v>15418.820176550324</v>
      </c>
      <c r="B2" s="2">
        <v>54555</v>
      </c>
      <c r="C2" s="2">
        <v>29.701572167371619</v>
      </c>
      <c r="D2" s="2">
        <v>183.4295582887747</v>
      </c>
      <c r="E2" s="5">
        <v>65.131341463414643</v>
      </c>
      <c r="F2" s="5">
        <v>63.214500000000001</v>
      </c>
      <c r="H2" s="9">
        <v>40199.346223327302</v>
      </c>
      <c r="I2" s="9">
        <v>64970</v>
      </c>
      <c r="J2" s="9">
        <v>11.298504133599073</v>
      </c>
      <c r="K2" s="9">
        <v>166.08198986642125</v>
      </c>
      <c r="L2" s="10">
        <v>64.778560975609764</v>
      </c>
      <c r="M2" s="9">
        <v>124.60413</v>
      </c>
      <c r="O2" s="9">
        <v>689.27319631966611</v>
      </c>
      <c r="P2" s="9">
        <v>64812</v>
      </c>
      <c r="Q2" s="9">
        <v>12.545624608806341</v>
      </c>
      <c r="R2" s="9">
        <v>176.6686841189275</v>
      </c>
      <c r="S2" s="10">
        <v>64.4229512195122</v>
      </c>
      <c r="T2" s="9">
        <v>120.34309</v>
      </c>
      <c r="V2" s="10">
        <v>64.068536585365862</v>
      </c>
      <c r="W2" s="9">
        <v>119.64167</v>
      </c>
      <c r="Y2" s="10">
        <v>63.716804878048784</v>
      </c>
      <c r="Z2" s="9">
        <v>119.83638000000001</v>
      </c>
      <c r="AB2" s="10">
        <v>63.367243902439029</v>
      </c>
      <c r="AC2" s="9">
        <v>123.93102</v>
      </c>
      <c r="AE2" s="10">
        <v>63.019317073170747</v>
      </c>
      <c r="AF2" s="9">
        <v>123.40039</v>
      </c>
      <c r="AH2" s="10">
        <v>62.670951219512197</v>
      </c>
      <c r="AI2" s="9">
        <v>162.34866</v>
      </c>
      <c r="AK2" s="10">
        <v>62.32112195121951</v>
      </c>
      <c r="AL2" s="9">
        <v>158.27162999999999</v>
      </c>
      <c r="AN2" s="10">
        <v>61.968780487804885</v>
      </c>
    </row>
    <row r="3" spans="1:40" ht="18.75">
      <c r="A3" s="7">
        <v>3218.0717038818466</v>
      </c>
      <c r="B3" s="2">
        <v>25175</v>
      </c>
      <c r="C3" s="2">
        <v>19.812523770106711</v>
      </c>
      <c r="D3" s="2">
        <v>170.33226335543728</v>
      </c>
      <c r="E3" s="5">
        <v>68.484317073170743</v>
      </c>
      <c r="F3" s="5">
        <v>72.552948000000001</v>
      </c>
      <c r="H3" s="9">
        <v>38242.024290117479</v>
      </c>
      <c r="I3" s="9">
        <v>53790</v>
      </c>
      <c r="J3" s="9">
        <v>12.676488358705523</v>
      </c>
      <c r="K3" s="9">
        <v>162.55874241433779</v>
      </c>
      <c r="L3" s="10">
        <v>68.225512195121965</v>
      </c>
      <c r="M3" s="9">
        <v>120.21617000000001</v>
      </c>
      <c r="O3" s="9">
        <v>1052.433388931428</v>
      </c>
      <c r="P3" s="9">
        <v>55263</v>
      </c>
      <c r="Q3" s="9">
        <v>14.819724192206287</v>
      </c>
      <c r="R3" s="9">
        <v>169.01017683146878</v>
      </c>
      <c r="S3" s="10">
        <v>67.988926829268308</v>
      </c>
      <c r="T3" s="9">
        <v>118.48044</v>
      </c>
      <c r="V3" s="10">
        <v>67.709585365853656</v>
      </c>
      <c r="W3" s="9">
        <v>119.26752</v>
      </c>
      <c r="Y3" s="10">
        <v>67.376829268292695</v>
      </c>
      <c r="Z3" s="9">
        <v>118.99332</v>
      </c>
      <c r="AB3" s="10">
        <v>67.073365853658544</v>
      </c>
      <c r="AC3" s="9">
        <v>120.17569</v>
      </c>
      <c r="AE3" s="10">
        <v>66.791243902439035</v>
      </c>
      <c r="AF3" s="9">
        <v>119.17456</v>
      </c>
      <c r="AH3" s="10">
        <v>66.516536585365856</v>
      </c>
      <c r="AI3" s="9">
        <v>136.89355</v>
      </c>
      <c r="AK3" s="10">
        <v>66.237804878048777</v>
      </c>
      <c r="AL3" s="9">
        <v>143.88545999999999</v>
      </c>
      <c r="AN3" s="10">
        <v>65.949073170731722</v>
      </c>
    </row>
    <row r="4" spans="1:40" ht="18.75">
      <c r="A4" s="7">
        <v>794.80125600997053</v>
      </c>
      <c r="B4" s="2">
        <v>27871</v>
      </c>
      <c r="C4" s="2">
        <v>22.83243243243243</v>
      </c>
      <c r="D4" s="2">
        <v>157.52727272727273</v>
      </c>
      <c r="E4" s="5">
        <v>68.889658536585358</v>
      </c>
      <c r="F4" s="5">
        <v>77.152720000000002</v>
      </c>
      <c r="H4" s="9">
        <v>38084.23567819759</v>
      </c>
      <c r="I4" s="9">
        <v>52972</v>
      </c>
      <c r="J4" s="9">
        <v>13.832358341107653</v>
      </c>
      <c r="K4" s="9">
        <v>142.8435604515563</v>
      </c>
      <c r="L4" s="10">
        <v>68.470975609756096</v>
      </c>
      <c r="M4" s="9">
        <v>118.99171</v>
      </c>
      <c r="O4" s="9">
        <v>1314.2259675795378</v>
      </c>
      <c r="P4" s="9">
        <v>52486</v>
      </c>
      <c r="Q4" s="9">
        <v>16.829872817081252</v>
      </c>
      <c r="R4" s="9">
        <v>157.81892623733737</v>
      </c>
      <c r="S4" s="10">
        <v>68.075146341463423</v>
      </c>
      <c r="T4" s="9">
        <v>117.44735</v>
      </c>
      <c r="V4" s="10">
        <v>67.780097560975619</v>
      </c>
      <c r="W4" s="9">
        <v>118.60097</v>
      </c>
      <c r="Y4" s="10">
        <v>67.599999999999994</v>
      </c>
      <c r="Z4" s="9">
        <v>118.87134</v>
      </c>
      <c r="AB4" s="10">
        <v>67.447146341463423</v>
      </c>
      <c r="AC4" s="9">
        <v>119.05108</v>
      </c>
      <c r="AE4" s="10">
        <v>67.313951219512205</v>
      </c>
      <c r="AF4" s="9">
        <v>116.50606999999999</v>
      </c>
      <c r="AH4" s="10">
        <v>67.189365853658543</v>
      </c>
      <c r="AI4" s="9">
        <v>131.8254</v>
      </c>
      <c r="AK4" s="10">
        <v>67.063804878048785</v>
      </c>
      <c r="AL4" s="9">
        <v>129.06744</v>
      </c>
      <c r="AN4" s="10">
        <v>66.934243902439036</v>
      </c>
    </row>
    <row r="5" spans="1:40" ht="18.75">
      <c r="A5" s="7">
        <v>3180.3746084771628</v>
      </c>
      <c r="B5" s="2">
        <v>10474</v>
      </c>
      <c r="C5" s="2">
        <v>31.166513994077711</v>
      </c>
      <c r="D5" s="2">
        <v>148.27937629513877</v>
      </c>
      <c r="E5" s="5">
        <v>73.273097560975629</v>
      </c>
      <c r="F5" s="5">
        <v>77.228110000000001</v>
      </c>
      <c r="H5" s="9">
        <v>36539.228231680005</v>
      </c>
      <c r="I5" s="9">
        <v>51654</v>
      </c>
      <c r="J5" s="9">
        <v>15.465882345799914</v>
      </c>
      <c r="K5" s="9">
        <v>130.14435615410781</v>
      </c>
      <c r="L5" s="10">
        <v>73.056512195121954</v>
      </c>
      <c r="M5" s="9">
        <v>117.37025</v>
      </c>
      <c r="O5" s="9">
        <v>2032.6149802993405</v>
      </c>
      <c r="P5" s="9">
        <v>52324</v>
      </c>
      <c r="Q5" s="9">
        <v>17.027052055146637</v>
      </c>
      <c r="R5" s="9">
        <v>150.32606256110645</v>
      </c>
      <c r="S5" s="10">
        <v>72.835341463414636</v>
      </c>
      <c r="T5" s="9">
        <v>117.01555</v>
      </c>
      <c r="V5" s="10">
        <v>72.612585365853661</v>
      </c>
      <c r="W5" s="9">
        <v>118.53312</v>
      </c>
      <c r="Y5" s="10">
        <v>72.389731707317083</v>
      </c>
      <c r="Z5" s="9">
        <v>118.35297</v>
      </c>
      <c r="AB5" s="10">
        <v>72.077853658536611</v>
      </c>
      <c r="AC5" s="9">
        <v>118.64366</v>
      </c>
      <c r="AE5" s="10">
        <v>71.648048780487827</v>
      </c>
      <c r="AF5" s="9">
        <v>115.53001</v>
      </c>
      <c r="AH5" s="10">
        <v>71.168317073170755</v>
      </c>
      <c r="AI5" s="9">
        <v>126.18579</v>
      </c>
      <c r="AK5" s="10">
        <v>70.639146341463416</v>
      </c>
      <c r="AL5" s="9">
        <v>126.02367</v>
      </c>
      <c r="AN5" s="10">
        <v>70.063999999999993</v>
      </c>
    </row>
    <row r="6" spans="1:40" ht="18.75">
      <c r="A6" s="7">
        <v>2712.5080160259749</v>
      </c>
      <c r="B6" s="2">
        <v>18116</v>
      </c>
      <c r="C6" s="2">
        <v>20.969929419071047</v>
      </c>
      <c r="D6" s="2">
        <v>135.14154283386119</v>
      </c>
      <c r="E6" s="5">
        <v>73.429682926829273</v>
      </c>
      <c r="F6" s="5">
        <v>81.177599999999998</v>
      </c>
      <c r="H6" s="9">
        <v>30885.459140066829</v>
      </c>
      <c r="I6" s="9">
        <v>50281</v>
      </c>
      <c r="J6" s="9">
        <v>16.87403627658162</v>
      </c>
      <c r="K6" s="9">
        <v>126.1573152659317</v>
      </c>
      <c r="L6" s="10">
        <v>73.2099756097561</v>
      </c>
      <c r="M6" s="9">
        <v>117.26284</v>
      </c>
      <c r="O6" s="9">
        <v>2608.2472597086198</v>
      </c>
      <c r="P6" s="9">
        <v>51135</v>
      </c>
      <c r="Q6" s="9">
        <v>17.349075093981018</v>
      </c>
      <c r="R6" s="9">
        <v>144.24161579596318</v>
      </c>
      <c r="S6" s="10">
        <v>72.963414634146346</v>
      </c>
      <c r="T6" s="9">
        <v>113.89700999999999</v>
      </c>
      <c r="V6" s="10">
        <v>72.663414634146349</v>
      </c>
      <c r="W6" s="9">
        <v>113.56417999999999</v>
      </c>
      <c r="Y6" s="10">
        <v>72.46273170731709</v>
      </c>
      <c r="Z6" s="9">
        <v>114.03919999999999</v>
      </c>
      <c r="AB6" s="10">
        <v>72.171317073170741</v>
      </c>
      <c r="AC6" s="9">
        <v>113.91061000000001</v>
      </c>
      <c r="AE6" s="10">
        <v>71.962341463414646</v>
      </c>
      <c r="AF6" s="9">
        <v>114.80419999999999</v>
      </c>
      <c r="AH6" s="10">
        <v>71.759390243902445</v>
      </c>
      <c r="AI6" s="9">
        <v>122.11279</v>
      </c>
      <c r="AK6" s="10">
        <v>71.359243902439033</v>
      </c>
      <c r="AL6" s="9">
        <v>122.10429000000001</v>
      </c>
      <c r="AN6" s="10">
        <v>70.930707317073171</v>
      </c>
    </row>
    <row r="7" spans="1:40" ht="18.75">
      <c r="A7" s="7">
        <v>3143.5338689667174</v>
      </c>
      <c r="B7" s="2">
        <v>8496</v>
      </c>
      <c r="C7" s="2">
        <v>12.954794489723975</v>
      </c>
      <c r="D7" s="2">
        <v>116.71515562418892</v>
      </c>
      <c r="E7" s="5">
        <v>73.512195121951223</v>
      </c>
      <c r="F7" s="5">
        <v>82.106939999999994</v>
      </c>
      <c r="H7" s="9">
        <v>30326.03845499914</v>
      </c>
      <c r="I7" s="9">
        <v>48633</v>
      </c>
      <c r="J7" s="9">
        <v>17.122522110969989</v>
      </c>
      <c r="K7" s="9">
        <v>103.84836949831833</v>
      </c>
      <c r="L7" s="10">
        <v>73.412195121951228</v>
      </c>
      <c r="M7" s="9">
        <v>112.58736</v>
      </c>
      <c r="O7" s="9">
        <v>2661.640138931627</v>
      </c>
      <c r="P7" s="9">
        <v>50939</v>
      </c>
      <c r="Q7" s="9">
        <v>17.822764053493557</v>
      </c>
      <c r="R7" s="9">
        <v>136.94945024268767</v>
      </c>
      <c r="S7" s="10">
        <v>72.984341463414651</v>
      </c>
      <c r="T7" s="9">
        <v>112.71348999999999</v>
      </c>
      <c r="V7" s="10">
        <v>72.753780487804889</v>
      </c>
      <c r="W7" s="9">
        <v>112.7526</v>
      </c>
      <c r="Y7" s="10">
        <v>72.518756097560981</v>
      </c>
      <c r="Z7" s="9">
        <v>112.97580000000001</v>
      </c>
      <c r="AB7" s="10">
        <v>72.279780487804885</v>
      </c>
      <c r="AC7" s="9">
        <v>112.84576</v>
      </c>
      <c r="AE7" s="10">
        <v>72.036780487804876</v>
      </c>
      <c r="AF7" s="9">
        <v>110.97922</v>
      </c>
      <c r="AH7" s="10">
        <v>71.764878048780488</v>
      </c>
      <c r="AI7" s="9">
        <v>118.67487</v>
      </c>
      <c r="AK7" s="10">
        <v>71.534024390243914</v>
      </c>
      <c r="AL7" s="9">
        <v>115.97381</v>
      </c>
      <c r="AN7" s="10">
        <v>71.273658536585373</v>
      </c>
    </row>
    <row r="8" spans="1:40" ht="18.75">
      <c r="A8" s="7">
        <v>39970.292528387799</v>
      </c>
      <c r="B8" s="2">
        <v>47986</v>
      </c>
      <c r="C8" s="2">
        <v>22.798991771682037</v>
      </c>
      <c r="D8" s="2">
        <v>104.00993843277601</v>
      </c>
      <c r="E8" s="5">
        <v>73.696658536585375</v>
      </c>
      <c r="F8" s="5">
        <v>82.518950000000004</v>
      </c>
      <c r="H8" s="9">
        <v>27933.777671415053</v>
      </c>
      <c r="I8" s="9">
        <v>48337</v>
      </c>
      <c r="J8" s="9">
        <v>18.320594663317177</v>
      </c>
      <c r="K8" s="9">
        <v>95.62642248489567</v>
      </c>
      <c r="L8" s="10">
        <v>73.424634146341475</v>
      </c>
      <c r="M8" s="9">
        <v>110.53265</v>
      </c>
      <c r="O8" s="9">
        <v>2961.7879815012539</v>
      </c>
      <c r="P8" s="9">
        <v>49894</v>
      </c>
      <c r="Q8" s="9">
        <v>18.406047524713198</v>
      </c>
      <c r="R8" s="9">
        <v>114.29568651847137</v>
      </c>
      <c r="S8" s="10">
        <v>73.129634146341473</v>
      </c>
      <c r="T8" s="9">
        <v>112.05229</v>
      </c>
      <c r="V8" s="10">
        <v>72.810658536585379</v>
      </c>
      <c r="W8" s="9">
        <v>112.63723</v>
      </c>
      <c r="Y8" s="10">
        <v>72.612195121951217</v>
      </c>
      <c r="Z8" s="9">
        <v>112.1187</v>
      </c>
      <c r="AB8" s="10">
        <v>72.466609756097569</v>
      </c>
      <c r="AC8" s="9">
        <v>112.03285</v>
      </c>
      <c r="AE8" s="10">
        <v>72.128682926829285</v>
      </c>
      <c r="AF8" s="9">
        <v>110.66540000000001</v>
      </c>
      <c r="AH8" s="10">
        <v>71.788219512195127</v>
      </c>
      <c r="AI8" s="9">
        <v>113.56863</v>
      </c>
      <c r="AK8" s="10">
        <v>71.57943902439024</v>
      </c>
      <c r="AL8" s="9">
        <v>112.74928</v>
      </c>
      <c r="AN8" s="10">
        <v>71.405536585365866</v>
      </c>
    </row>
    <row r="9" spans="1:40" ht="18.75">
      <c r="A9" s="7">
        <v>26642.993857634163</v>
      </c>
      <c r="B9" s="2">
        <v>55068</v>
      </c>
      <c r="C9" s="2">
        <v>20.9927684865802</v>
      </c>
      <c r="D9" s="2">
        <v>102.83074289432209</v>
      </c>
      <c r="E9" s="5">
        <v>73.764975609756107</v>
      </c>
      <c r="F9" s="5">
        <v>85.713343533333301</v>
      </c>
      <c r="H9" s="9">
        <v>27814.124476702636</v>
      </c>
      <c r="I9" s="9">
        <v>48280</v>
      </c>
      <c r="J9" s="9">
        <v>19.179128637625613</v>
      </c>
      <c r="K9" s="9">
        <v>93.006374238953967</v>
      </c>
      <c r="L9" s="10">
        <v>73.543073170731702</v>
      </c>
      <c r="M9" s="9">
        <v>110.16356</v>
      </c>
      <c r="O9" s="9">
        <v>3023.3980507101264</v>
      </c>
      <c r="P9" s="9">
        <v>49301</v>
      </c>
      <c r="Q9" s="9">
        <v>19.843419830901691</v>
      </c>
      <c r="R9" s="9">
        <v>112.77817388566737</v>
      </c>
      <c r="S9" s="10">
        <v>73.305707317073185</v>
      </c>
      <c r="T9" s="9">
        <v>111.18052</v>
      </c>
      <c r="V9" s="10">
        <v>73.050390243902442</v>
      </c>
      <c r="W9" s="9">
        <v>112.27743</v>
      </c>
      <c r="Y9" s="10">
        <v>72.772195121951228</v>
      </c>
      <c r="Z9" s="9">
        <v>111.66109</v>
      </c>
      <c r="AB9" s="10">
        <v>72.560975609756099</v>
      </c>
      <c r="AC9" s="9">
        <v>111.53882</v>
      </c>
      <c r="AE9" s="10">
        <v>72.563414634146341</v>
      </c>
      <c r="AF9" s="9">
        <v>109.21455</v>
      </c>
      <c r="AH9" s="10">
        <v>72.065853658536597</v>
      </c>
      <c r="AI9" s="9">
        <v>112.98857</v>
      </c>
      <c r="AK9" s="10">
        <v>71.865853658536579</v>
      </c>
      <c r="AL9" s="9">
        <v>112.43248</v>
      </c>
      <c r="AN9" s="10">
        <v>71.768292682926841</v>
      </c>
    </row>
    <row r="10" spans="1:40" ht="18.75">
      <c r="A10" s="7">
        <v>39971.787453442477</v>
      </c>
      <c r="B10" s="2">
        <v>67319</v>
      </c>
      <c r="C10" s="2">
        <v>25.308516721494506</v>
      </c>
      <c r="D10" s="2">
        <v>95.150177501084542</v>
      </c>
      <c r="E10" s="5">
        <v>73.927658536585369</v>
      </c>
      <c r="F10" s="5">
        <v>88.686999999999998</v>
      </c>
      <c r="H10" s="9">
        <v>26210.305360249713</v>
      </c>
      <c r="I10" s="9">
        <v>47806</v>
      </c>
      <c r="J10" s="9">
        <v>20.031765592595132</v>
      </c>
      <c r="K10" s="9">
        <v>91.381435496368908</v>
      </c>
      <c r="L10" s="10">
        <v>73.768024390243909</v>
      </c>
      <c r="M10" s="9">
        <v>107.52007</v>
      </c>
      <c r="O10" s="9">
        <v>3131.1776678793062</v>
      </c>
      <c r="P10" s="9">
        <v>49095</v>
      </c>
      <c r="Q10" s="9">
        <v>20.806425533168639</v>
      </c>
      <c r="R10" s="9">
        <v>106.29700105866462</v>
      </c>
      <c r="S10" s="10">
        <v>73.568121951219538</v>
      </c>
      <c r="T10" s="9">
        <v>108.73412</v>
      </c>
      <c r="V10" s="10">
        <v>73.359048780487811</v>
      </c>
      <c r="W10" s="9">
        <v>110.30209000000001</v>
      </c>
      <c r="Y10" s="10">
        <v>73.166609756097557</v>
      </c>
      <c r="Z10" s="9">
        <v>111.35705</v>
      </c>
      <c r="AB10" s="10">
        <v>72.988292682926826</v>
      </c>
      <c r="AC10" s="9">
        <v>110.69302999999999</v>
      </c>
      <c r="AE10" s="10">
        <v>72.821560975609756</v>
      </c>
      <c r="AF10" s="9">
        <v>108.16503</v>
      </c>
      <c r="AH10" s="10">
        <v>72.657902439024397</v>
      </c>
      <c r="AI10" s="10">
        <v>109.27278</v>
      </c>
      <c r="AK10" s="10">
        <v>72.492268292682937</v>
      </c>
      <c r="AL10" s="9">
        <v>107.41342</v>
      </c>
      <c r="AN10" s="10">
        <v>72.321121951219524</v>
      </c>
    </row>
    <row r="11" spans="1:40" ht="18.75">
      <c r="A11" s="7">
        <v>18944.413808084089</v>
      </c>
      <c r="B11" s="2">
        <v>49226</v>
      </c>
      <c r="C11" s="2">
        <v>34.253194300537189</v>
      </c>
      <c r="D11" s="2">
        <v>92.779093287822647</v>
      </c>
      <c r="E11" s="5">
        <v>74.024560975609774</v>
      </c>
      <c r="F11" s="5">
        <v>88.781689999999998</v>
      </c>
      <c r="H11" s="9">
        <v>26205.688316200423</v>
      </c>
      <c r="I11" s="9">
        <v>47449</v>
      </c>
      <c r="J11" s="9">
        <v>20.188836917791527</v>
      </c>
      <c r="K11" s="9">
        <v>89.688723373261581</v>
      </c>
      <c r="L11" s="10">
        <v>73.790804878048789</v>
      </c>
      <c r="M11" s="9">
        <v>101.82521</v>
      </c>
      <c r="O11" s="9">
        <v>5057.8266633116473</v>
      </c>
      <c r="P11" s="9">
        <v>48921</v>
      </c>
      <c r="Q11" s="9">
        <v>21.014107859617113</v>
      </c>
      <c r="R11" s="9">
        <v>100.62673280987416</v>
      </c>
      <c r="S11" s="10">
        <v>73.613268292682932</v>
      </c>
      <c r="T11" s="9">
        <v>101.75019</v>
      </c>
      <c r="V11" s="10">
        <v>73.46590243902439</v>
      </c>
      <c r="W11" s="9">
        <v>102.47962</v>
      </c>
      <c r="Y11" s="10">
        <v>73.325414634146355</v>
      </c>
      <c r="Z11" s="9">
        <v>103.38203</v>
      </c>
      <c r="AB11" s="10">
        <v>73.172682926829282</v>
      </c>
      <c r="AC11" s="9">
        <v>105.4838</v>
      </c>
      <c r="AE11" s="10">
        <v>72.977804878048801</v>
      </c>
      <c r="AF11" s="10">
        <v>107.15037</v>
      </c>
      <c r="AH11" s="10">
        <v>72.782926829268305</v>
      </c>
      <c r="AI11" s="9">
        <v>108.13961999999999</v>
      </c>
      <c r="AK11" s="10">
        <v>72.776926829268305</v>
      </c>
      <c r="AL11" s="10">
        <v>106.22462</v>
      </c>
      <c r="AN11" s="10">
        <v>72.641439024390237</v>
      </c>
    </row>
    <row r="12" spans="1:40" ht="18.75">
      <c r="A12" s="7">
        <v>5528.3631138752189</v>
      </c>
      <c r="B12" s="2">
        <v>15883</v>
      </c>
      <c r="C12" s="2">
        <v>34.828826272398906</v>
      </c>
      <c r="D12" s="2">
        <v>92.199438258611636</v>
      </c>
      <c r="E12" s="5">
        <v>74.127317073170744</v>
      </c>
      <c r="F12" s="5">
        <v>88.851699999999994</v>
      </c>
      <c r="H12" s="9">
        <v>26183.997597580394</v>
      </c>
      <c r="I12" s="9">
        <v>45810</v>
      </c>
      <c r="J12" s="9">
        <v>20.221659892954875</v>
      </c>
      <c r="K12" s="9">
        <v>89.434829785658394</v>
      </c>
      <c r="L12" s="10">
        <v>73.942439024390254</v>
      </c>
      <c r="M12" s="9">
        <v>101.53111</v>
      </c>
      <c r="O12" s="9">
        <v>5196.6891443317254</v>
      </c>
      <c r="P12" s="9">
        <v>47143</v>
      </c>
      <c r="Q12" s="9">
        <v>21.077355593477666</v>
      </c>
      <c r="R12" s="9">
        <v>100.30618040645129</v>
      </c>
      <c r="S12" s="10">
        <v>73.757560975609763</v>
      </c>
      <c r="T12" s="9">
        <v>101.33011</v>
      </c>
      <c r="V12" s="10">
        <v>73.562439024390244</v>
      </c>
      <c r="W12" s="9">
        <v>101.18548</v>
      </c>
      <c r="Y12" s="10">
        <v>73.367560975609763</v>
      </c>
      <c r="Z12" s="9">
        <v>101.48296999999999</v>
      </c>
      <c r="AB12" s="10">
        <v>73.188780487804891</v>
      </c>
      <c r="AC12" s="9">
        <v>103.83259</v>
      </c>
      <c r="AE12" s="10">
        <v>73.052951219512209</v>
      </c>
      <c r="AF12" s="9">
        <v>107.009321112953</v>
      </c>
      <c r="AH12" s="10">
        <v>72.915463414634146</v>
      </c>
      <c r="AI12" s="9">
        <v>106.570383244231</v>
      </c>
      <c r="AK12" s="10">
        <v>73</v>
      </c>
      <c r="AL12" s="9">
        <v>104.50951000000001</v>
      </c>
      <c r="AN12" s="10">
        <v>72.848780487804888</v>
      </c>
    </row>
    <row r="13" spans="1:40" ht="18.75">
      <c r="A13" s="7">
        <v>1383.404865284723</v>
      </c>
      <c r="B13" s="2">
        <v>32102</v>
      </c>
      <c r="C13" s="2">
        <v>25.798096547606775</v>
      </c>
      <c r="D13" s="2">
        <v>79.275263428712051</v>
      </c>
      <c r="E13" s="5">
        <v>74.600000000000009</v>
      </c>
      <c r="F13" s="5">
        <v>89.383799999999994</v>
      </c>
      <c r="H13" s="9">
        <v>25069.869149602546</v>
      </c>
      <c r="I13" s="9">
        <v>44971</v>
      </c>
      <c r="J13" s="9">
        <v>20.263859036761758</v>
      </c>
      <c r="K13" s="9">
        <v>83.97682962183039</v>
      </c>
      <c r="L13" s="10">
        <v>74.451219512195124</v>
      </c>
      <c r="M13" s="9">
        <v>101.49974</v>
      </c>
      <c r="O13" s="9">
        <v>5288.4160873182027</v>
      </c>
      <c r="P13" s="9">
        <v>45900</v>
      </c>
      <c r="Q13" s="9">
        <v>22.891544476674795</v>
      </c>
      <c r="R13" s="9">
        <v>97.441624264042446</v>
      </c>
      <c r="S13" s="10">
        <v>74.302439024390253</v>
      </c>
      <c r="T13" s="9">
        <v>101.3154</v>
      </c>
      <c r="V13" s="10">
        <v>74.202439024390259</v>
      </c>
      <c r="W13" s="9">
        <v>101.11991</v>
      </c>
      <c r="Y13" s="10">
        <v>73.900000000000006</v>
      </c>
      <c r="Z13" s="9">
        <v>101.35017999999999</v>
      </c>
      <c r="AB13" s="10">
        <v>73.502439024390256</v>
      </c>
      <c r="AC13" s="9">
        <v>101.47495000000001</v>
      </c>
      <c r="AE13" s="10">
        <v>73.302439024390253</v>
      </c>
      <c r="AF13" s="9">
        <v>104.63912999999999</v>
      </c>
      <c r="AH13" s="10">
        <v>73.051219512195132</v>
      </c>
      <c r="AI13" s="9">
        <v>106.3882</v>
      </c>
      <c r="AK13" s="10">
        <v>73.629268292682937</v>
      </c>
      <c r="AL13" s="9">
        <v>104.20406</v>
      </c>
      <c r="AN13" s="10">
        <v>73.429268292682934</v>
      </c>
    </row>
    <row r="14" spans="1:40" ht="18.75">
      <c r="A14" s="7">
        <v>5168.6860159618955</v>
      </c>
      <c r="B14" s="2">
        <v>19892</v>
      </c>
      <c r="C14" s="2">
        <v>18.303308741138739</v>
      </c>
      <c r="D14" s="2">
        <v>78.390474682080097</v>
      </c>
      <c r="E14" s="5">
        <v>75.632146341463425</v>
      </c>
      <c r="F14" s="5">
        <v>90.420860000000005</v>
      </c>
      <c r="H14" s="9">
        <v>24190.594952251042</v>
      </c>
      <c r="I14" s="9">
        <v>44144</v>
      </c>
      <c r="J14" s="9">
        <v>20.370053446912216</v>
      </c>
      <c r="K14" s="9">
        <v>73.057370675147112</v>
      </c>
      <c r="L14" s="10">
        <v>75.464097560975603</v>
      </c>
      <c r="M14" s="9">
        <v>100.28679</v>
      </c>
      <c r="O14" s="9">
        <v>5984.1449525733797</v>
      </c>
      <c r="P14" s="9">
        <v>45807</v>
      </c>
      <c r="Q14" s="9">
        <v>23.170858960518089</v>
      </c>
      <c r="R14" s="9">
        <v>89.917057144395969</v>
      </c>
      <c r="S14" s="10">
        <v>75.292536585365866</v>
      </c>
      <c r="T14" s="9">
        <v>99.335750000000004</v>
      </c>
      <c r="V14" s="10">
        <v>75.114975609756115</v>
      </c>
      <c r="W14" s="9">
        <v>99.444730000000007</v>
      </c>
      <c r="Y14" s="10">
        <v>74.931439024390244</v>
      </c>
      <c r="Z14" s="10">
        <v>101.02802</v>
      </c>
      <c r="AB14" s="10">
        <v>74.741463414634154</v>
      </c>
      <c r="AC14" s="10">
        <v>101.42140000000001</v>
      </c>
      <c r="AE14" s="10">
        <v>74.545585365853668</v>
      </c>
      <c r="AF14" s="9">
        <v>103.11251</v>
      </c>
      <c r="AH14" s="10">
        <v>74.344292682926834</v>
      </c>
      <c r="AI14" s="9">
        <v>102.22766</v>
      </c>
      <c r="AK14" s="10">
        <v>74.138609756097566</v>
      </c>
      <c r="AL14" s="9">
        <v>102.81641999999999</v>
      </c>
      <c r="AN14" s="10">
        <v>73.929512195121958</v>
      </c>
    </row>
    <row r="15" spans="1:40" ht="18.75">
      <c r="A15" s="7">
        <v>5226.566177671798</v>
      </c>
      <c r="B15" s="2">
        <v>15031</v>
      </c>
      <c r="C15" s="2">
        <v>20.618791609741031</v>
      </c>
      <c r="D15" s="2">
        <v>71.419491269774255</v>
      </c>
      <c r="E15" s="5">
        <v>76.236829268292695</v>
      </c>
      <c r="F15" s="5">
        <v>91.380520000000004</v>
      </c>
      <c r="H15" s="9">
        <v>22508.762612270802</v>
      </c>
      <c r="I15" s="9">
        <v>42375</v>
      </c>
      <c r="J15" s="9">
        <v>20.532638209199099</v>
      </c>
      <c r="K15" s="9">
        <v>67.449914049865939</v>
      </c>
      <c r="L15" s="10">
        <v>76.111219512195134</v>
      </c>
      <c r="M15" s="9">
        <v>99.624210000000005</v>
      </c>
      <c r="O15" s="9">
        <v>6327.0131753855467</v>
      </c>
      <c r="P15" s="9">
        <v>44131</v>
      </c>
      <c r="Q15" s="9">
        <v>23.29654307640827</v>
      </c>
      <c r="R15" s="9">
        <v>81.04138126986112</v>
      </c>
      <c r="S15" s="10">
        <v>75.980731707317076</v>
      </c>
      <c r="T15" s="9">
        <v>99.264650000000003</v>
      </c>
      <c r="V15" s="10">
        <v>75.855121951219516</v>
      </c>
      <c r="W15" s="9">
        <v>98.992540000000005</v>
      </c>
      <c r="Y15" s="10">
        <v>75.72975609756098</v>
      </c>
      <c r="Z15" s="9">
        <v>99.984290000000001</v>
      </c>
      <c r="AB15" s="10">
        <v>75.498902439024391</v>
      </c>
      <c r="AC15" s="9">
        <v>101.23828</v>
      </c>
      <c r="AE15" s="10">
        <v>75.216341463414636</v>
      </c>
      <c r="AF15" s="9">
        <v>101.64373000000001</v>
      </c>
      <c r="AH15" s="10">
        <v>74.876829268292695</v>
      </c>
      <c r="AI15" s="9">
        <v>102.00657</v>
      </c>
      <c r="AK15" s="10">
        <v>74.762073170731711</v>
      </c>
      <c r="AL15" s="9">
        <v>102.60420000000001</v>
      </c>
      <c r="AN15" s="10">
        <v>74.52046341463415</v>
      </c>
    </row>
    <row r="16" spans="1:40" ht="18.75">
      <c r="A16" s="7">
        <v>38826.842983418268</v>
      </c>
      <c r="B16" s="2">
        <v>41988</v>
      </c>
      <c r="C16" s="2">
        <v>13.972789519704271</v>
      </c>
      <c r="D16" s="2">
        <v>69.970757146077574</v>
      </c>
      <c r="E16" s="5">
        <v>76.683780487804881</v>
      </c>
      <c r="F16" s="5">
        <v>93.744743200000002</v>
      </c>
      <c r="H16" s="9">
        <v>18697.219786000813</v>
      </c>
      <c r="I16" s="9">
        <v>41058</v>
      </c>
      <c r="J16" s="9">
        <v>20.8330179782435</v>
      </c>
      <c r="K16" s="9">
        <v>66.523308054291917</v>
      </c>
      <c r="L16" s="10">
        <v>76.465560975609762</v>
      </c>
      <c r="M16" s="9">
        <v>99.074370000000002</v>
      </c>
      <c r="O16" s="9">
        <v>6581.3579521604543</v>
      </c>
      <c r="P16" s="9">
        <v>42139</v>
      </c>
      <c r="Q16" s="9">
        <v>24.707281880206267</v>
      </c>
      <c r="R16" s="9">
        <v>76.282266566757912</v>
      </c>
      <c r="S16" s="10">
        <v>76.236341463414647</v>
      </c>
      <c r="T16" s="9">
        <v>99.121020000000001</v>
      </c>
      <c r="V16" s="10">
        <v>75.99714634146342</v>
      </c>
      <c r="W16" s="9">
        <v>97.716040000000007</v>
      </c>
      <c r="Y16" s="10">
        <v>75.749975609756106</v>
      </c>
      <c r="Z16" s="9">
        <v>99.107320000000001</v>
      </c>
      <c r="AB16" s="10">
        <v>75.609268292682941</v>
      </c>
      <c r="AC16" s="9">
        <v>99.931830000000005</v>
      </c>
      <c r="AE16" s="10">
        <v>75.25</v>
      </c>
      <c r="AF16" s="9">
        <v>99.009</v>
      </c>
      <c r="AH16" s="10">
        <v>75.004731707317077</v>
      </c>
      <c r="AI16" s="9">
        <v>99.165949999999995</v>
      </c>
      <c r="AK16" s="10">
        <v>74.836341463414641</v>
      </c>
      <c r="AL16" s="9">
        <v>98.232759999999999</v>
      </c>
      <c r="AN16" s="10">
        <v>74.872195121951222</v>
      </c>
    </row>
    <row r="17" spans="1:40" ht="18.75">
      <c r="A17" s="7">
        <v>28244.336936297346</v>
      </c>
      <c r="B17" s="2">
        <v>37101</v>
      </c>
      <c r="C17" s="2">
        <v>32.895578426869413</v>
      </c>
      <c r="D17" s="2">
        <v>69.900674771106509</v>
      </c>
      <c r="E17" s="2">
        <v>78.24146341463414</v>
      </c>
      <c r="F17" s="2">
        <v>95.395610000000005</v>
      </c>
      <c r="H17" s="9">
        <v>15523.003041671906</v>
      </c>
      <c r="I17" s="9">
        <v>40621</v>
      </c>
      <c r="J17" s="9">
        <v>21.858568808088794</v>
      </c>
      <c r="K17" s="9">
        <v>65.590384639535969</v>
      </c>
      <c r="L17" s="9">
        <v>78.090243902439028</v>
      </c>
      <c r="M17" s="10">
        <v>97.170069999999996</v>
      </c>
      <c r="O17" s="9">
        <v>8211.6617816098442</v>
      </c>
      <c r="P17" s="9">
        <v>39376</v>
      </c>
      <c r="Q17" s="9">
        <v>24.76079225753983</v>
      </c>
      <c r="R17" s="9">
        <v>76.269476240217443</v>
      </c>
      <c r="S17" s="9">
        <v>77.939024390243915</v>
      </c>
      <c r="T17" s="9">
        <v>96.855509999999995</v>
      </c>
      <c r="V17" s="9">
        <v>77.839024390243921</v>
      </c>
      <c r="W17" s="9">
        <v>97.208759999999998</v>
      </c>
      <c r="Y17" s="9">
        <v>77.587804878048786</v>
      </c>
      <c r="Z17" s="9">
        <v>98.498090000000005</v>
      </c>
      <c r="AB17" s="9">
        <v>77.339024390243921</v>
      </c>
      <c r="AC17" s="9">
        <v>98.84084</v>
      </c>
      <c r="AE17" s="9">
        <v>77.339024390243921</v>
      </c>
      <c r="AF17" s="9">
        <v>98.900980000000004</v>
      </c>
      <c r="AH17" s="9">
        <v>76.987804878048777</v>
      </c>
      <c r="AI17" s="9">
        <v>98.81514</v>
      </c>
      <c r="AK17" s="9">
        <v>76.836585365853665</v>
      </c>
      <c r="AL17" s="9">
        <v>98.140280000000004</v>
      </c>
      <c r="AN17" s="9">
        <v>76.736585365853671</v>
      </c>
    </row>
    <row r="18" spans="1:40" ht="18.75">
      <c r="A18" s="7">
        <v>14629.218095928976</v>
      </c>
      <c r="B18" s="2">
        <v>48487</v>
      </c>
      <c r="C18" s="2">
        <v>40.307937290574472</v>
      </c>
      <c r="D18" s="2">
        <v>63.227301272562009</v>
      </c>
      <c r="E18" s="5">
        <v>78.885731707317092</v>
      </c>
      <c r="F18" s="2">
        <v>96.04074</v>
      </c>
      <c r="H18" s="9">
        <v>14778.16392881753</v>
      </c>
      <c r="I18" s="9">
        <v>36523</v>
      </c>
      <c r="J18" s="9">
        <v>22.141194206438563</v>
      </c>
      <c r="K18" s="9">
        <v>59.180109680605106</v>
      </c>
      <c r="L18" s="9">
        <v>78.597560975609767</v>
      </c>
      <c r="M18" s="9">
        <v>96.453739999999996</v>
      </c>
      <c r="O18" s="9">
        <v>9935.8342457628696</v>
      </c>
      <c r="P18" s="9">
        <v>35843</v>
      </c>
      <c r="Q18" s="9">
        <v>24.859184409960303</v>
      </c>
      <c r="R18" s="9">
        <v>68.711278032303497</v>
      </c>
      <c r="S18" s="9">
        <v>78.44634146341464</v>
      </c>
      <c r="T18" s="9">
        <v>95.790819999999997</v>
      </c>
      <c r="V18" s="9">
        <v>78.195121951219519</v>
      </c>
      <c r="W18" s="9">
        <v>95.878290000000007</v>
      </c>
      <c r="Y18" s="9">
        <v>78.095121951219539</v>
      </c>
      <c r="Z18" s="9">
        <v>97.008889999999994</v>
      </c>
      <c r="AB18" s="9">
        <v>77.84390243902439</v>
      </c>
      <c r="AC18" s="9">
        <v>96.884839999999997</v>
      </c>
      <c r="AE18" s="9">
        <v>77.492682926829275</v>
      </c>
      <c r="AF18" s="9">
        <v>96.27064</v>
      </c>
      <c r="AH18" s="9">
        <v>77.143902439024401</v>
      </c>
      <c r="AI18" s="9">
        <v>95.35454</v>
      </c>
      <c r="AK18" s="9">
        <v>76.895121951219508</v>
      </c>
      <c r="AL18" s="10">
        <v>95.526060000000001</v>
      </c>
      <c r="AN18" s="9">
        <v>76.792682926829286</v>
      </c>
    </row>
    <row r="19" spans="1:40" ht="18.75">
      <c r="A19" s="7">
        <v>24550.396553163449</v>
      </c>
      <c r="B19" s="2">
        <v>51128</v>
      </c>
      <c r="C19" s="2">
        <v>19.969949259490168</v>
      </c>
      <c r="D19" s="2">
        <v>61.856065050499289</v>
      </c>
      <c r="E19" s="2">
        <v>79.100000000000009</v>
      </c>
      <c r="F19" s="5">
        <v>96.363119999999995</v>
      </c>
      <c r="H19" s="9">
        <v>9933.2290236548561</v>
      </c>
      <c r="I19" s="9">
        <v>30854</v>
      </c>
      <c r="J19" s="9">
        <v>22.366009725506046</v>
      </c>
      <c r="K19" s="9">
        <v>59.130171778554683</v>
      </c>
      <c r="L19" s="10">
        <v>78.762707317073179</v>
      </c>
      <c r="M19" s="9">
        <v>95.234120000000004</v>
      </c>
      <c r="O19" s="9">
        <v>15011.183854912335</v>
      </c>
      <c r="P19" s="9">
        <v>30831</v>
      </c>
      <c r="Q19" s="9">
        <v>25.538686890811523</v>
      </c>
      <c r="R19" s="9">
        <v>65.208095007457914</v>
      </c>
      <c r="S19" s="10">
        <v>78.647219512195136</v>
      </c>
      <c r="T19" s="10">
        <v>92.135580000000004</v>
      </c>
      <c r="V19" s="10">
        <v>78.534268292682938</v>
      </c>
      <c r="W19" s="10">
        <v>92.030240000000006</v>
      </c>
      <c r="Y19" s="10">
        <v>78.415853658536591</v>
      </c>
      <c r="Z19" s="9">
        <v>95.764120000000005</v>
      </c>
      <c r="AB19" s="10">
        <v>78.274975609756112</v>
      </c>
      <c r="AC19" s="9">
        <v>95.062179999999998</v>
      </c>
      <c r="AE19" s="10">
        <v>78.089585365853665</v>
      </c>
      <c r="AF19" s="9">
        <v>94.004059999999996</v>
      </c>
      <c r="AH19" s="10">
        <v>77.851170731707327</v>
      </c>
      <c r="AI19" s="9">
        <v>93.418390000000002</v>
      </c>
      <c r="AK19" s="10">
        <v>77.555219512195137</v>
      </c>
      <c r="AL19" s="9">
        <v>93.421329999999998</v>
      </c>
      <c r="AN19" s="9">
        <v>77.139756097560991</v>
      </c>
    </row>
    <row r="20" spans="1:40" ht="18.75">
      <c r="A20" s="7">
        <v>2426.3324663395415</v>
      </c>
      <c r="B20" s="2">
        <v>13045</v>
      </c>
      <c r="C20" s="2">
        <v>24.894390494050842</v>
      </c>
      <c r="D20" s="2">
        <v>60.739883097953474</v>
      </c>
      <c r="E20" s="5">
        <v>79.192609756097568</v>
      </c>
      <c r="F20" s="2">
        <v>98.929839999999999</v>
      </c>
      <c r="H20" s="9">
        <v>8382.8290157708598</v>
      </c>
      <c r="I20" s="9">
        <v>28846</v>
      </c>
      <c r="J20" s="9">
        <v>22.538786361755637</v>
      </c>
      <c r="K20" s="9">
        <v>56.918054674780528</v>
      </c>
      <c r="L20" s="10">
        <v>79.069170731707331</v>
      </c>
      <c r="M20" s="10">
        <v>94.635909999999996</v>
      </c>
      <c r="O20" s="9">
        <v>16251.836932987533</v>
      </c>
      <c r="P20" s="9">
        <v>30717</v>
      </c>
      <c r="Q20" s="9">
        <v>26.012818441320622</v>
      </c>
      <c r="R20" s="9">
        <v>62.940430859036745</v>
      </c>
      <c r="S20" s="10">
        <v>78.946268292682944</v>
      </c>
      <c r="T20" s="10">
        <v>90.649259999999998</v>
      </c>
      <c r="V20" s="10">
        <v>78.82141463414635</v>
      </c>
      <c r="W20" s="10">
        <v>90.48657</v>
      </c>
      <c r="Y20" s="10">
        <v>78.695073170731717</v>
      </c>
      <c r="Z20" s="10">
        <v>90.921980000000005</v>
      </c>
      <c r="AB20" s="9">
        <v>78.479512195121956</v>
      </c>
      <c r="AC20" s="10">
        <v>90.772959999999998</v>
      </c>
      <c r="AE20" s="9">
        <v>78.198536585365872</v>
      </c>
      <c r="AF20" s="10">
        <v>89.416200000000003</v>
      </c>
      <c r="AH20" s="9">
        <v>77.91756097560976</v>
      </c>
      <c r="AI20" s="10">
        <v>88.741590000000002</v>
      </c>
      <c r="AK20" s="9">
        <v>77.636585365853662</v>
      </c>
      <c r="AL20" s="9">
        <v>93.292280000000005</v>
      </c>
      <c r="AN20" s="10">
        <v>77.207219512195124</v>
      </c>
    </row>
    <row r="21" spans="1:40" ht="18.75">
      <c r="A21" s="7">
        <v>9096.7944590675233</v>
      </c>
      <c r="B21" s="2">
        <v>23775</v>
      </c>
      <c r="C21" s="2">
        <v>17.086910222388653</v>
      </c>
      <c r="D21" s="2">
        <v>57.313057391943666</v>
      </c>
      <c r="E21" s="2">
        <v>79.870731707317091</v>
      </c>
      <c r="F21" s="2">
        <v>99.206639999999993</v>
      </c>
      <c r="H21" s="9">
        <v>6451.6311255150722</v>
      </c>
      <c r="I21" s="9">
        <v>26920</v>
      </c>
      <c r="J21" s="9">
        <v>22.975507036856968</v>
      </c>
      <c r="K21" s="9">
        <v>55.202349814265496</v>
      </c>
      <c r="L21" s="9">
        <v>79.719512195121965</v>
      </c>
      <c r="M21" s="10">
        <v>91.606849999999994</v>
      </c>
      <c r="O21" s="9">
        <v>19903.456942247056</v>
      </c>
      <c r="P21" s="9">
        <v>28394</v>
      </c>
      <c r="Q21" s="9">
        <v>26.975426923653067</v>
      </c>
      <c r="R21" s="9">
        <v>62.243774928778059</v>
      </c>
      <c r="S21" s="9">
        <v>79.14146341463416</v>
      </c>
      <c r="T21" s="10">
        <v>90.519170000000003</v>
      </c>
      <c r="V21" s="9">
        <v>79.041463414634165</v>
      </c>
      <c r="W21" s="10">
        <v>90.253739999999993</v>
      </c>
      <c r="Y21" s="9">
        <v>78.760487804878053</v>
      </c>
      <c r="Z21" s="10">
        <v>89.885729999999995</v>
      </c>
      <c r="AB21" s="10">
        <v>78.564243902439017</v>
      </c>
      <c r="AC21" s="10">
        <v>89.291039999999995</v>
      </c>
      <c r="AE21" s="10">
        <v>78.428414634146336</v>
      </c>
      <c r="AF21" s="10">
        <v>88.721879999999999</v>
      </c>
      <c r="AH21" s="10">
        <v>78.285585365853677</v>
      </c>
      <c r="AI21" s="10">
        <v>88.171539999999993</v>
      </c>
      <c r="AK21" s="9">
        <v>78.119512195121956</v>
      </c>
      <c r="AL21" s="10">
        <v>89.903139999999993</v>
      </c>
      <c r="AN21" s="9">
        <v>77.965853658536588</v>
      </c>
    </row>
    <row r="22" spans="1:40" ht="18.75">
      <c r="A22" s="7">
        <v>26501.045820871324</v>
      </c>
      <c r="B22" s="2">
        <v>45047</v>
      </c>
      <c r="C22" s="2">
        <v>33.365064061995753</v>
      </c>
      <c r="D22" s="2">
        <v>56.557213721644843</v>
      </c>
      <c r="E22" s="2">
        <v>79.936585365853674</v>
      </c>
      <c r="F22" s="5">
        <v>99.692019999999999</v>
      </c>
      <c r="H22" s="9">
        <v>5875.6199968925939</v>
      </c>
      <c r="I22" s="9">
        <v>26171</v>
      </c>
      <c r="J22" s="9">
        <v>23.419054102919848</v>
      </c>
      <c r="K22" s="9">
        <v>54.373582584356861</v>
      </c>
      <c r="L22" s="9">
        <v>79.736585365853671</v>
      </c>
      <c r="M22" s="10">
        <v>90.47439</v>
      </c>
      <c r="O22" s="9">
        <v>23366.402616235526</v>
      </c>
      <c r="P22" s="9">
        <v>26595</v>
      </c>
      <c r="Q22" s="9">
        <v>27.046890666220573</v>
      </c>
      <c r="R22" s="9">
        <v>61.917885034050904</v>
      </c>
      <c r="S22" s="9">
        <v>79.482926829268294</v>
      </c>
      <c r="T22" s="10">
        <v>89.867869999999996</v>
      </c>
      <c r="V22" s="9">
        <v>79.263414634146358</v>
      </c>
      <c r="W22" s="10">
        <v>90.167280000000005</v>
      </c>
      <c r="Y22" s="9">
        <v>79.214634146341467</v>
      </c>
      <c r="Z22" s="10">
        <v>87.740449999999996</v>
      </c>
      <c r="AB22" s="9">
        <v>78.817073170731703</v>
      </c>
      <c r="AC22" s="10">
        <v>85.490499999999997</v>
      </c>
      <c r="AE22" s="9">
        <v>78.714634146341481</v>
      </c>
      <c r="AF22" s="10">
        <v>85.817850000000007</v>
      </c>
      <c r="AH22" s="9">
        <v>78.368292682926835</v>
      </c>
      <c r="AI22" s="10">
        <v>86.729569999999995</v>
      </c>
      <c r="AK22" s="10">
        <v>78.134756097560981</v>
      </c>
      <c r="AL22" s="10">
        <v>87.054249999999996</v>
      </c>
      <c r="AN22" s="10">
        <v>77.974926829268298</v>
      </c>
    </row>
    <row r="23" spans="1:40" ht="18.75">
      <c r="A23" s="7">
        <v>37329.615913867616</v>
      </c>
      <c r="B23" s="2">
        <v>50426</v>
      </c>
      <c r="C23" s="2">
        <v>31.673737916872195</v>
      </c>
      <c r="D23" s="2">
        <v>55.417714001322253</v>
      </c>
      <c r="E23" s="2">
        <v>80.2919512195122</v>
      </c>
      <c r="F23" s="2">
        <v>100.39973999999999</v>
      </c>
      <c r="H23" s="9">
        <v>5700.8840582240518</v>
      </c>
      <c r="I23" s="9">
        <v>23987</v>
      </c>
      <c r="J23" s="9">
        <v>24.289549664346158</v>
      </c>
      <c r="K23" s="9">
        <v>49.697154743049062</v>
      </c>
      <c r="L23" s="9">
        <v>80.038414634146349</v>
      </c>
      <c r="M23" s="10">
        <v>90.238320000000002</v>
      </c>
      <c r="O23" s="9">
        <v>25082.374126645333</v>
      </c>
      <c r="P23" s="9">
        <v>24929</v>
      </c>
      <c r="Q23" s="9">
        <v>27.110761444846688</v>
      </c>
      <c r="R23" s="9">
        <v>58.808701695550965</v>
      </c>
      <c r="S23" s="9">
        <v>79.568292682926838</v>
      </c>
      <c r="T23" s="10">
        <v>89.834239999999994</v>
      </c>
      <c r="V23" s="9">
        <v>79.448780487804882</v>
      </c>
      <c r="W23" s="10">
        <v>89.729529999999997</v>
      </c>
      <c r="Y23" s="9">
        <v>79.248780487804893</v>
      </c>
      <c r="Z23" s="10">
        <v>87.682789999999997</v>
      </c>
      <c r="AB23" s="9">
        <v>79.048780487804891</v>
      </c>
      <c r="AC23" s="10">
        <v>85.481440000000006</v>
      </c>
      <c r="AE23" s="9">
        <v>78.746341463414637</v>
      </c>
      <c r="AF23" s="10">
        <v>85.392759999999996</v>
      </c>
      <c r="AH23" s="9">
        <v>78.44634146341464</v>
      </c>
      <c r="AI23" s="10">
        <v>86.349090000000004</v>
      </c>
      <c r="AK23" s="9">
        <v>78.143902439024387</v>
      </c>
      <c r="AL23" s="10">
        <v>86.827209999999994</v>
      </c>
      <c r="AN23" s="9">
        <v>77.992682926829275</v>
      </c>
    </row>
    <row r="24" spans="1:40" ht="18.75">
      <c r="A24" s="7">
        <v>22758.154126858244</v>
      </c>
      <c r="B24" s="2">
        <v>46789</v>
      </c>
      <c r="C24" s="2">
        <v>27.989704660475095</v>
      </c>
      <c r="D24" s="2">
        <v>55.068569313538283</v>
      </c>
      <c r="E24" s="2">
        <v>80.382926829268314</v>
      </c>
      <c r="F24" s="2">
        <v>102.19901</v>
      </c>
      <c r="H24" s="9">
        <v>5066.9660025605926</v>
      </c>
      <c r="I24" s="9">
        <v>22064</v>
      </c>
      <c r="J24" s="9">
        <v>25.392378343960154</v>
      </c>
      <c r="K24" s="9">
        <v>49.015714694576609</v>
      </c>
      <c r="L24" s="9">
        <v>80.051219512195118</v>
      </c>
      <c r="M24" s="10">
        <v>88.5321</v>
      </c>
      <c r="O24" s="9">
        <v>26101.764071100839</v>
      </c>
      <c r="P24" s="9">
        <v>23039</v>
      </c>
      <c r="Q24" s="9">
        <v>27.931058863502717</v>
      </c>
      <c r="R24" s="9">
        <v>58.561399631296005</v>
      </c>
      <c r="S24" s="9">
        <v>79.600000000000009</v>
      </c>
      <c r="T24" s="10">
        <v>89.172120000000007</v>
      </c>
      <c r="V24" s="9">
        <v>79.534146341463426</v>
      </c>
      <c r="W24" s="10">
        <v>89.298559999999995</v>
      </c>
      <c r="Y24" s="9">
        <v>79.697560975609761</v>
      </c>
      <c r="Z24" s="10">
        <v>87.177419999999998</v>
      </c>
      <c r="AB24" s="9">
        <v>79.327641463414651</v>
      </c>
      <c r="AC24" s="10">
        <v>84.911569999999998</v>
      </c>
      <c r="AE24" s="9">
        <v>78.878048780487802</v>
      </c>
      <c r="AF24" s="10">
        <v>85.220010000000002</v>
      </c>
      <c r="AH24" s="9">
        <v>78.492682926829289</v>
      </c>
      <c r="AI24" s="10">
        <v>82.394210000000001</v>
      </c>
      <c r="AK24" s="9">
        <v>78.292682926829272</v>
      </c>
      <c r="AL24" s="10">
        <v>85.835909999999998</v>
      </c>
      <c r="AN24" s="9">
        <v>78.190243902439036</v>
      </c>
    </row>
    <row r="25" spans="1:40" ht="18.75">
      <c r="A25" s="7">
        <v>2555.1771009778467</v>
      </c>
      <c r="B25" s="2">
        <v>17616</v>
      </c>
      <c r="C25" s="2">
        <v>26.134626490471174</v>
      </c>
      <c r="D25" s="2">
        <v>53.307022092514224</v>
      </c>
      <c r="E25" s="2">
        <v>80.402439024390247</v>
      </c>
      <c r="F25" s="2">
        <v>104.69811283503</v>
      </c>
      <c r="H25" s="9">
        <v>4968.5790226880872</v>
      </c>
      <c r="I25" s="9">
        <v>19080</v>
      </c>
      <c r="J25" s="9">
        <v>25.552119766186326</v>
      </c>
      <c r="K25" s="9">
        <v>48.565091655711726</v>
      </c>
      <c r="L25" s="9">
        <v>80.082926829268303</v>
      </c>
      <c r="M25" s="10">
        <v>88.022800000000004</v>
      </c>
      <c r="O25" s="9">
        <v>27305.923294597673</v>
      </c>
      <c r="P25" s="9">
        <v>20058</v>
      </c>
      <c r="Q25" s="9">
        <v>28.553441239924837</v>
      </c>
      <c r="R25" s="9">
        <v>58.328669525158141</v>
      </c>
      <c r="S25" s="9">
        <v>80.234146341463429</v>
      </c>
      <c r="T25" s="10">
        <v>87.868210000000005</v>
      </c>
      <c r="V25" s="9">
        <v>79.982926829268308</v>
      </c>
      <c r="W25" s="10">
        <v>89.067260000000005</v>
      </c>
      <c r="Y25" s="9">
        <v>79.777236585365856</v>
      </c>
      <c r="Z25" s="10">
        <v>86.110730000000004</v>
      </c>
      <c r="AB25" s="9">
        <v>79.331707317073182</v>
      </c>
      <c r="AC25" s="10">
        <v>83.53801</v>
      </c>
      <c r="AE25" s="9">
        <v>79.095121951219525</v>
      </c>
      <c r="AF25" s="10">
        <v>83.961200000000005</v>
      </c>
      <c r="AH25" s="9">
        <v>78.631707317073179</v>
      </c>
      <c r="AI25" s="10">
        <v>81.855220000000003</v>
      </c>
      <c r="AK25" s="9">
        <v>78.575609756097563</v>
      </c>
      <c r="AL25" s="10">
        <v>79.661649999999995</v>
      </c>
      <c r="AN25" s="9">
        <v>78.473170731707327</v>
      </c>
    </row>
    <row r="26" spans="1:40" ht="18.75">
      <c r="A26" s="7">
        <v>6124.709570735401</v>
      </c>
      <c r="B26" s="2">
        <v>17339</v>
      </c>
      <c r="C26" s="2">
        <v>21.384879319536235</v>
      </c>
      <c r="D26" s="2">
        <v>52.866606315358148</v>
      </c>
      <c r="E26" s="2">
        <v>80.702439024390245</v>
      </c>
      <c r="F26" s="2">
        <v>105.33817000000001</v>
      </c>
      <c r="H26" s="9">
        <v>4901.5470966212833</v>
      </c>
      <c r="I26" s="9">
        <v>17716</v>
      </c>
      <c r="J26" s="9">
        <v>26.269445828155146</v>
      </c>
      <c r="K26" s="9">
        <v>48.024553892373731</v>
      </c>
      <c r="L26" s="9">
        <v>80.548780487804891</v>
      </c>
      <c r="M26" s="10">
        <v>87.921009999999995</v>
      </c>
      <c r="O26" s="9">
        <v>27348.474359530068</v>
      </c>
      <c r="P26" s="9">
        <v>18087</v>
      </c>
      <c r="Q26" s="9">
        <v>28.806807955174346</v>
      </c>
      <c r="R26" s="9">
        <v>57.744560004280565</v>
      </c>
      <c r="S26" s="9">
        <v>80.251219512195121</v>
      </c>
      <c r="T26" s="10">
        <v>86.821449999999999</v>
      </c>
      <c r="V26" s="9">
        <v>80.097560975609753</v>
      </c>
      <c r="W26" s="10">
        <v>87.220020000000005</v>
      </c>
      <c r="Y26" s="9">
        <v>79.831707317073182</v>
      </c>
      <c r="Z26" s="10">
        <v>85.259410000000003</v>
      </c>
      <c r="AB26" s="9">
        <v>79.346341463414646</v>
      </c>
      <c r="AC26" s="10">
        <v>82.55</v>
      </c>
      <c r="AE26" s="9">
        <v>79.180487804878055</v>
      </c>
      <c r="AF26" s="10">
        <v>82.684470000000005</v>
      </c>
      <c r="AH26" s="9">
        <v>78.729268292682946</v>
      </c>
      <c r="AI26" s="10">
        <v>80.469449999999995</v>
      </c>
      <c r="AK26" s="9">
        <v>78.678048780487828</v>
      </c>
      <c r="AL26" s="10">
        <v>79.482230000000001</v>
      </c>
      <c r="AN26" s="9">
        <v>78.526829268292687</v>
      </c>
    </row>
    <row r="27" spans="1:40" ht="18.75">
      <c r="A27" s="7">
        <v>27599.296582715371</v>
      </c>
      <c r="B27" s="2">
        <v>46721</v>
      </c>
      <c r="C27" s="2">
        <v>18.727818898067476</v>
      </c>
      <c r="D27" s="2">
        <v>49.692813374587978</v>
      </c>
      <c r="E27" s="2">
        <v>80.702439024390245</v>
      </c>
      <c r="F27" s="2">
        <v>107.54187</v>
      </c>
      <c r="H27" s="9">
        <v>3137.695334929927</v>
      </c>
      <c r="I27" s="9">
        <v>17194</v>
      </c>
      <c r="J27" s="9">
        <v>27.754433819214615</v>
      </c>
      <c r="K27" s="9">
        <v>47.738241653774985</v>
      </c>
      <c r="L27" s="9">
        <v>80.66178048780489</v>
      </c>
      <c r="M27" s="10">
        <v>86.920760000000001</v>
      </c>
      <c r="O27" s="9">
        <v>28789.543852738545</v>
      </c>
      <c r="P27" s="9">
        <v>17617</v>
      </c>
      <c r="Q27" s="9">
        <v>28.871413283308968</v>
      </c>
      <c r="R27" s="9">
        <v>56.002472590711228</v>
      </c>
      <c r="S27" s="9">
        <v>80.351219512195144</v>
      </c>
      <c r="T27" s="10">
        <v>85.843609999999998</v>
      </c>
      <c r="V27" s="9">
        <v>80.151219512195127</v>
      </c>
      <c r="W27" s="10">
        <v>84.815370000000001</v>
      </c>
      <c r="Y27" s="9">
        <v>80.048780487804891</v>
      </c>
      <c r="Z27" s="10">
        <v>84.749570000000006</v>
      </c>
      <c r="AB27" s="9">
        <v>79.851219512195144</v>
      </c>
      <c r="AC27" s="10">
        <v>82.304050000000004</v>
      </c>
      <c r="AE27" s="9">
        <v>79.548780487804876</v>
      </c>
      <c r="AF27" s="10">
        <v>81.779480000000007</v>
      </c>
      <c r="AH27" s="9">
        <v>79.146341463414643</v>
      </c>
      <c r="AI27" s="10">
        <v>78.08954</v>
      </c>
      <c r="AK27" s="9">
        <v>78.846341463414632</v>
      </c>
      <c r="AL27" s="10">
        <v>76.809280000000001</v>
      </c>
      <c r="AN27" s="9">
        <v>78.692682926829278</v>
      </c>
    </row>
    <row r="28" spans="1:40" ht="18.75">
      <c r="A28" s="7">
        <v>10749.31922448427</v>
      </c>
      <c r="B28" s="2">
        <v>27814</v>
      </c>
      <c r="C28" s="2">
        <v>20.325764738324565</v>
      </c>
      <c r="D28" s="2">
        <v>48.272815406165044</v>
      </c>
      <c r="E28" s="2">
        <v>80.797804878048794</v>
      </c>
      <c r="F28" s="2">
        <v>110.51548</v>
      </c>
      <c r="H28" s="9">
        <v>3083.9865100211032</v>
      </c>
      <c r="I28" s="9">
        <v>17101</v>
      </c>
      <c r="J28" s="9">
        <v>30.337572206439646</v>
      </c>
      <c r="K28" s="9">
        <v>45.63743815664634</v>
      </c>
      <c r="L28" s="9">
        <v>80.702439024390245</v>
      </c>
      <c r="M28" s="10">
        <v>84.822320000000005</v>
      </c>
      <c r="O28" s="9">
        <v>29287.760417081092</v>
      </c>
      <c r="P28" s="9">
        <v>17426</v>
      </c>
      <c r="Q28" s="9">
        <v>30.45841194770539</v>
      </c>
      <c r="R28" s="9">
        <v>54.319546641533343</v>
      </c>
      <c r="S28" s="9">
        <v>80.592682926829283</v>
      </c>
      <c r="T28" s="10">
        <v>85.478009999999998</v>
      </c>
      <c r="V28" s="9">
        <v>80.395121951219522</v>
      </c>
      <c r="W28" s="10">
        <v>84.675370000000001</v>
      </c>
      <c r="Y28" s="9">
        <v>80.34390243902439</v>
      </c>
      <c r="Z28" s="10">
        <v>83.687920000000005</v>
      </c>
      <c r="AB28" s="9">
        <v>80.041463414634151</v>
      </c>
      <c r="AC28" s="10">
        <v>82.018119999999996</v>
      </c>
      <c r="AE28" s="9">
        <v>79.841463414634163</v>
      </c>
      <c r="AF28" s="10">
        <v>78.496979999999994</v>
      </c>
      <c r="AH28" s="9">
        <v>79.263414634146358</v>
      </c>
      <c r="AI28" s="10">
        <v>77.581666527198493</v>
      </c>
      <c r="AK28" s="9">
        <v>78.987804878048792</v>
      </c>
      <c r="AL28" s="10">
        <v>73.552310000000006</v>
      </c>
      <c r="AN28" s="9">
        <v>78.785365853658533</v>
      </c>
    </row>
    <row r="29" spans="1:40" ht="18.75">
      <c r="A29" s="7">
        <v>26953.220553229461</v>
      </c>
      <c r="B29" s="2">
        <v>44702</v>
      </c>
      <c r="C29" s="2">
        <v>21.064043485264346</v>
      </c>
      <c r="D29" s="2">
        <v>47.968919990004423</v>
      </c>
      <c r="E29" s="2">
        <v>80.997560975609773</v>
      </c>
      <c r="F29" s="2">
        <v>111.00127000000001</v>
      </c>
      <c r="H29" s="9">
        <v>2955.1862220756493</v>
      </c>
      <c r="I29" s="9">
        <v>17036</v>
      </c>
      <c r="J29" s="9">
        <v>30.747561728377743</v>
      </c>
      <c r="K29" s="9">
        <v>45.512121092667272</v>
      </c>
      <c r="L29" s="9">
        <v>80.795121951219514</v>
      </c>
      <c r="M29" s="10">
        <v>82.587159999999997</v>
      </c>
      <c r="O29" s="9">
        <v>30130.640418136933</v>
      </c>
      <c r="P29" s="9">
        <v>16744</v>
      </c>
      <c r="Q29" s="9">
        <v>30.722666723695301</v>
      </c>
      <c r="R29" s="9">
        <v>52.269485249074464</v>
      </c>
      <c r="S29" s="9">
        <v>80.868292682926835</v>
      </c>
      <c r="T29" s="10">
        <v>82.715500000000006</v>
      </c>
      <c r="V29" s="9">
        <v>80.804390243902446</v>
      </c>
      <c r="W29" s="10">
        <v>81.900329999999997</v>
      </c>
      <c r="Y29" s="9">
        <v>80.514634146341479</v>
      </c>
      <c r="Z29" s="10">
        <v>81.912469999999999</v>
      </c>
      <c r="AB29" s="9">
        <v>80.114634146341473</v>
      </c>
      <c r="AC29" s="10">
        <v>80.590429999999998</v>
      </c>
      <c r="AE29" s="9">
        <v>79.870731707317091</v>
      </c>
      <c r="AF29" s="10">
        <v>78.103200000000001</v>
      </c>
      <c r="AH29" s="9">
        <v>79.390243902439025</v>
      </c>
      <c r="AI29" s="10">
        <v>72.414869999999993</v>
      </c>
      <c r="AK29" s="9">
        <v>79.260975609756116</v>
      </c>
      <c r="AL29" s="10">
        <v>67.810860000000005</v>
      </c>
      <c r="AN29" s="9">
        <v>79.058536585365871</v>
      </c>
    </row>
    <row r="30" spans="1:40" ht="18.75">
      <c r="A30" s="7">
        <v>32631.19270546297</v>
      </c>
      <c r="B30" s="2">
        <v>41679</v>
      </c>
      <c r="C30" s="2">
        <v>19.387953141741789</v>
      </c>
      <c r="D30" s="2">
        <v>47.563165054109803</v>
      </c>
      <c r="E30" s="2">
        <v>81.368292682926835</v>
      </c>
      <c r="F30" s="2">
        <v>113.18583</v>
      </c>
      <c r="H30" s="9">
        <v>2531.2337345777191</v>
      </c>
      <c r="I30" s="9">
        <v>14863</v>
      </c>
      <c r="J30" s="9">
        <v>31.213885028230813</v>
      </c>
      <c r="K30" s="9">
        <v>44.374327150898942</v>
      </c>
      <c r="L30" s="9">
        <v>81.068292682926838</v>
      </c>
      <c r="M30" s="10">
        <v>80.052580000000006</v>
      </c>
      <c r="O30" s="9">
        <v>32320.100540136358</v>
      </c>
      <c r="P30" s="9">
        <v>15501</v>
      </c>
      <c r="Q30" s="9">
        <v>31.68723939938765</v>
      </c>
      <c r="R30" s="9">
        <v>52.248595300749457</v>
      </c>
      <c r="S30" s="9">
        <v>80.964878048780506</v>
      </c>
      <c r="T30" s="10">
        <v>81.644909999999996</v>
      </c>
      <c r="V30" s="9">
        <v>80.814634146341476</v>
      </c>
      <c r="W30" s="10">
        <v>79.848070000000007</v>
      </c>
      <c r="Y30" s="9">
        <v>80.643902439024387</v>
      </c>
      <c r="Z30" s="10">
        <v>77.220579999999998</v>
      </c>
      <c r="AB30" s="9">
        <v>80.170731707317088</v>
      </c>
      <c r="AC30" s="10">
        <v>74.386769999999999</v>
      </c>
      <c r="AE30" s="9">
        <v>80.141463414634146</v>
      </c>
      <c r="AF30" s="10">
        <v>73.586309999999997</v>
      </c>
      <c r="AH30" s="9">
        <v>79.61951219512197</v>
      </c>
      <c r="AI30" s="10">
        <v>70.058210000000003</v>
      </c>
      <c r="AK30" s="9">
        <v>79.568292682926838</v>
      </c>
      <c r="AL30" s="10">
        <v>66.907799999999995</v>
      </c>
      <c r="AN30" s="9">
        <v>79.368292682926835</v>
      </c>
    </row>
    <row r="31" spans="1:40" ht="18.75">
      <c r="A31" s="7">
        <v>6781.6964840094633</v>
      </c>
      <c r="B31" s="2">
        <v>27671</v>
      </c>
      <c r="C31" s="2">
        <v>22.35843635512936</v>
      </c>
      <c r="D31" s="2">
        <v>46.13689352402028</v>
      </c>
      <c r="E31" s="2">
        <v>81.451219512195138</v>
      </c>
      <c r="F31" s="2">
        <v>118.70322</v>
      </c>
      <c r="H31" s="9">
        <v>2527.9383770628988</v>
      </c>
      <c r="I31" s="9">
        <v>14053</v>
      </c>
      <c r="J31" s="9">
        <v>31.786935670660931</v>
      </c>
      <c r="K31" s="9">
        <v>38.520929658329749</v>
      </c>
      <c r="L31" s="9">
        <v>81.351219512195129</v>
      </c>
      <c r="M31" s="10">
        <v>77.557329999999993</v>
      </c>
      <c r="O31" s="9">
        <v>32798.734249282294</v>
      </c>
      <c r="P31" s="9">
        <v>14271</v>
      </c>
      <c r="Q31" s="9">
        <v>33.156351931559108</v>
      </c>
      <c r="R31" s="9">
        <v>51.82901237899317</v>
      </c>
      <c r="S31" s="9">
        <v>81.100000000000009</v>
      </c>
      <c r="T31" s="10">
        <v>78.490520000000004</v>
      </c>
      <c r="V31" s="9">
        <v>80.873170731707319</v>
      </c>
      <c r="W31" s="10">
        <v>76.143540000000002</v>
      </c>
      <c r="Y31" s="9">
        <v>80.748780487804893</v>
      </c>
      <c r="Z31" s="10">
        <v>73.151340000000005</v>
      </c>
      <c r="AB31" s="9">
        <v>80.292682926829286</v>
      </c>
      <c r="AC31" s="10">
        <v>72.371209369770597</v>
      </c>
      <c r="AE31" s="9">
        <v>80.163414634146349</v>
      </c>
      <c r="AF31" s="10">
        <v>71.834779999999995</v>
      </c>
      <c r="AH31" s="9">
        <v>79.839024390243921</v>
      </c>
      <c r="AI31" s="10">
        <v>69.102379999999997</v>
      </c>
      <c r="AK31" s="9">
        <v>79.590243902439028</v>
      </c>
      <c r="AL31" s="10">
        <v>66.444469999999995</v>
      </c>
      <c r="AN31" s="9">
        <v>79.487804878048777</v>
      </c>
    </row>
    <row r="32" spans="1:40" ht="18.75">
      <c r="A32" s="7">
        <v>5356.0004392767878</v>
      </c>
      <c r="B32" s="2">
        <v>8408</v>
      </c>
      <c r="C32" s="2">
        <v>11.292425482336297</v>
      </c>
      <c r="D32" s="2">
        <v>40.106668347472798</v>
      </c>
      <c r="E32" s="2">
        <v>81.626829268292695</v>
      </c>
      <c r="F32" s="2">
        <v>119.08271000000001</v>
      </c>
      <c r="H32" s="9">
        <v>2208.4039475036752</v>
      </c>
      <c r="I32" s="9">
        <v>11867</v>
      </c>
      <c r="J32" s="9">
        <v>33.791310177598973</v>
      </c>
      <c r="K32" s="9">
        <v>37.353524840946505</v>
      </c>
      <c r="L32" s="9">
        <v>81.385365853658527</v>
      </c>
      <c r="M32" s="10">
        <v>76.094120000000004</v>
      </c>
      <c r="O32" s="9">
        <v>38208.761183378272</v>
      </c>
      <c r="P32" s="9">
        <v>10904</v>
      </c>
      <c r="Q32" s="9">
        <v>36.640451510025031</v>
      </c>
      <c r="R32" s="9">
        <v>45.125838526459255</v>
      </c>
      <c r="S32" s="9">
        <v>81.175609756097572</v>
      </c>
      <c r="T32" s="10">
        <v>74.976839999999996</v>
      </c>
      <c r="V32" s="9">
        <v>80.90000000000002</v>
      </c>
      <c r="W32" s="10">
        <v>75.488659999999996</v>
      </c>
      <c r="Y32" s="9">
        <v>80.821951219512201</v>
      </c>
      <c r="Z32" s="10">
        <v>71.013829999999999</v>
      </c>
      <c r="AB32" s="9">
        <v>80.546341463414649</v>
      </c>
      <c r="AC32" s="10">
        <v>70.898240000000001</v>
      </c>
      <c r="AE32" s="9">
        <v>80.497560975609773</v>
      </c>
      <c r="AF32" s="10">
        <v>70.264875107962197</v>
      </c>
      <c r="AH32" s="9">
        <v>79.93170731707319</v>
      </c>
      <c r="AI32" s="10">
        <v>66.823570000000004</v>
      </c>
      <c r="AK32" s="9">
        <v>79.846341463414646</v>
      </c>
      <c r="AL32" s="10">
        <v>64.448890000000006</v>
      </c>
      <c r="AN32" s="9">
        <v>79.795121951219514</v>
      </c>
    </row>
    <row r="33" spans="1:40" ht="18.75">
      <c r="A33" s="7">
        <v>30667.824862119454</v>
      </c>
      <c r="B33" s="2">
        <v>50494</v>
      </c>
      <c r="C33" s="2">
        <v>17.821490885573336</v>
      </c>
      <c r="D33" s="2">
        <v>33.918348055253638</v>
      </c>
      <c r="E33" s="2">
        <v>81.736585365853671</v>
      </c>
      <c r="F33" s="2">
        <v>120.98887000000001</v>
      </c>
      <c r="H33" s="9">
        <v>1307.1396272980239</v>
      </c>
      <c r="I33" s="9">
        <v>10186</v>
      </c>
      <c r="J33" s="9">
        <v>33.870972532874703</v>
      </c>
      <c r="K33" s="9">
        <v>34.280001664529856</v>
      </c>
      <c r="L33" s="9">
        <v>81.475609756097555</v>
      </c>
      <c r="M33" s="10">
        <v>75.057360000000003</v>
      </c>
      <c r="O33" s="9">
        <v>39324.731120964454</v>
      </c>
      <c r="P33" s="9">
        <v>9960</v>
      </c>
      <c r="Q33" s="9">
        <v>41.752418245300426</v>
      </c>
      <c r="R33" s="9">
        <v>38.052061397205087</v>
      </c>
      <c r="S33" s="9">
        <v>81.385365853658527</v>
      </c>
      <c r="T33" s="10">
        <v>70.184030000000007</v>
      </c>
      <c r="V33" s="9">
        <v>81.285365853658533</v>
      </c>
      <c r="W33" s="10">
        <v>71.49924</v>
      </c>
      <c r="Y33" s="9">
        <v>81.131707317073179</v>
      </c>
      <c r="Z33" s="10">
        <v>70.278919999999999</v>
      </c>
      <c r="AB33" s="9">
        <v>80.580487804878061</v>
      </c>
      <c r="AC33" s="10">
        <v>70.298990000000003</v>
      </c>
      <c r="AE33" s="9">
        <v>80.729268292682931</v>
      </c>
      <c r="AF33" s="10">
        <v>66.286469999999994</v>
      </c>
      <c r="AH33" s="9">
        <v>80.095121951219525</v>
      </c>
      <c r="AI33" s="10">
        <v>64.009559999999993</v>
      </c>
      <c r="AK33" s="9">
        <v>79.978048780487811</v>
      </c>
      <c r="AL33" s="10">
        <v>63.917409999999997</v>
      </c>
      <c r="AN33" s="9">
        <v>79.82926829268294</v>
      </c>
    </row>
    <row r="34" spans="1:40" ht="18.75">
      <c r="A34" s="7">
        <v>1145.3854345842906</v>
      </c>
      <c r="B34" s="2">
        <v>18197</v>
      </c>
      <c r="C34" s="2">
        <v>30.563144423195794</v>
      </c>
      <c r="D34" s="2">
        <v>29.184209499407604</v>
      </c>
      <c r="E34" s="2">
        <v>82.246341463414652</v>
      </c>
      <c r="F34" s="2">
        <v>121.46396</v>
      </c>
      <c r="H34" s="9">
        <v>1089.7240141220407</v>
      </c>
      <c r="I34" s="9">
        <v>8029</v>
      </c>
      <c r="J34" s="9">
        <v>38.110114496856319</v>
      </c>
      <c r="K34" s="9">
        <v>25.640545966053402</v>
      </c>
      <c r="L34" s="9">
        <v>82.043902439024393</v>
      </c>
      <c r="M34" s="10">
        <v>68.295079999999999</v>
      </c>
      <c r="O34" s="9">
        <v>40433.001310778025</v>
      </c>
      <c r="P34" s="9">
        <v>8164</v>
      </c>
      <c r="Q34" s="9">
        <v>43.789580595053174</v>
      </c>
      <c r="R34" s="9">
        <v>35.228316793004439</v>
      </c>
      <c r="S34" s="9">
        <v>81.992682926829275</v>
      </c>
      <c r="T34" s="10">
        <v>69.058139999999995</v>
      </c>
      <c r="V34" s="9">
        <v>81.741463414634154</v>
      </c>
      <c r="W34" s="10">
        <v>68.952340000000007</v>
      </c>
      <c r="Y34" s="9">
        <v>81.490243902439033</v>
      </c>
      <c r="Z34" s="10">
        <v>63.889800000000001</v>
      </c>
      <c r="AB34" s="9">
        <v>81.236585365853671</v>
      </c>
      <c r="AC34" s="10">
        <v>60.640270000000001</v>
      </c>
      <c r="AE34" s="9">
        <v>81.0878048780488</v>
      </c>
      <c r="AF34" s="10">
        <v>61.708370000000002</v>
      </c>
      <c r="AH34" s="9">
        <v>80.536585365853682</v>
      </c>
      <c r="AI34" s="10">
        <v>59.517670000000003</v>
      </c>
      <c r="AK34" s="9">
        <v>80.385365853658541</v>
      </c>
      <c r="AL34" s="10">
        <v>56.405419999999999</v>
      </c>
      <c r="AN34" s="9">
        <v>80.180487804878055</v>
      </c>
    </row>
    <row r="35" spans="1:40" ht="18.75">
      <c r="A35" s="7">
        <v>25575.216975004561</v>
      </c>
      <c r="B35" s="2">
        <v>52331</v>
      </c>
      <c r="C35" s="2">
        <v>52.13465261879572</v>
      </c>
      <c r="D35" s="2">
        <v>29.130893102348228</v>
      </c>
      <c r="E35" s="2">
        <v>82.932682926829273</v>
      </c>
      <c r="F35" s="2">
        <v>124.72306</v>
      </c>
      <c r="H35" s="9">
        <v>735.63185417358602</v>
      </c>
      <c r="I35" s="9">
        <v>7990</v>
      </c>
      <c r="J35" s="9">
        <v>52.653138482944499</v>
      </c>
      <c r="K35" s="9">
        <v>25.024838757673695</v>
      </c>
      <c r="L35" s="9">
        <v>82.931463414634152</v>
      </c>
      <c r="M35" s="10">
        <v>59.535080000000001</v>
      </c>
      <c r="O35" s="9">
        <v>41399.709027612495</v>
      </c>
      <c r="P35" s="9">
        <v>7521</v>
      </c>
      <c r="Q35" s="9">
        <v>51.761514861988424</v>
      </c>
      <c r="R35" s="9">
        <v>30.967065889319446</v>
      </c>
      <c r="S35" s="9">
        <v>82.587560975609776</v>
      </c>
      <c r="T35" s="10">
        <v>60.162100000000002</v>
      </c>
      <c r="V35" s="9">
        <v>82.507073170731715</v>
      </c>
      <c r="W35" s="10">
        <v>57.039709999999999</v>
      </c>
      <c r="Y35" s="9">
        <v>82.321951219512201</v>
      </c>
      <c r="Z35" s="10">
        <v>54.671100000000003</v>
      </c>
      <c r="AB35" s="9">
        <v>81.925121951219523</v>
      </c>
      <c r="AC35" s="10">
        <v>53.856000000000002</v>
      </c>
      <c r="AE35" s="9">
        <v>82.03024390243904</v>
      </c>
      <c r="AF35" s="10">
        <v>51.388159999999999</v>
      </c>
      <c r="AH35" s="9">
        <v>81.760000000000005</v>
      </c>
      <c r="AI35" s="10">
        <v>49.768920000000001</v>
      </c>
      <c r="AK35" s="9">
        <v>81.563414634146341</v>
      </c>
      <c r="AL35" s="10">
        <v>47.342140000000001</v>
      </c>
      <c r="AN35" s="9">
        <v>81.417073170731712</v>
      </c>
    </row>
  </sheetData>
  <sortState ref="AN2:AN35">
    <sortCondition ref="AN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sqref="A1:B1048576"/>
    </sheetView>
  </sheetViews>
  <sheetFormatPr defaultColWidth="11" defaultRowHeight="18.75"/>
  <cols>
    <col min="1" max="2" width="10.875" style="3"/>
  </cols>
  <sheetData>
    <row r="1" spans="1:2">
      <c r="A1" s="1" t="s">
        <v>9</v>
      </c>
    </row>
    <row r="2" spans="1:2">
      <c r="A2" s="2" t="s">
        <v>35</v>
      </c>
      <c r="B2" s="3">
        <v>0.78983289638630605</v>
      </c>
    </row>
    <row r="3" spans="1:2">
      <c r="A3" s="2" t="s">
        <v>37</v>
      </c>
      <c r="B3" s="3">
        <v>0.7106375164405101</v>
      </c>
    </row>
    <row r="4" spans="1:2">
      <c r="A4" s="2" t="s">
        <v>39</v>
      </c>
      <c r="B4" s="3">
        <v>0.70384224547054153</v>
      </c>
    </row>
    <row r="5" spans="1:2">
      <c r="A5" s="2" t="s">
        <v>29</v>
      </c>
      <c r="B5" s="3">
        <v>0.68417951522230691</v>
      </c>
    </row>
    <row r="6" spans="1:2">
      <c r="A6" s="2" t="s">
        <v>42</v>
      </c>
      <c r="B6" s="3">
        <v>0.6534597826160965</v>
      </c>
    </row>
    <row r="7" spans="1:2">
      <c r="A7" s="2" t="s">
        <v>31</v>
      </c>
      <c r="B7" s="3">
        <v>0.63327598479769531</v>
      </c>
    </row>
    <row r="8" spans="1:2">
      <c r="A8" s="2" t="s">
        <v>41</v>
      </c>
      <c r="B8" s="3">
        <v>0.62888862383494148</v>
      </c>
    </row>
    <row r="9" spans="1:2">
      <c r="A9" s="2" t="s">
        <v>28</v>
      </c>
      <c r="B9" s="3">
        <v>0.60299507210833159</v>
      </c>
    </row>
    <row r="10" spans="1:2">
      <c r="A10" s="2" t="s">
        <v>36</v>
      </c>
      <c r="B10" s="3">
        <v>0.58119454164706308</v>
      </c>
    </row>
    <row r="11" spans="1:2">
      <c r="A11" s="2" t="s">
        <v>32</v>
      </c>
      <c r="B11" s="3">
        <v>0.57918468162559322</v>
      </c>
    </row>
    <row r="12" spans="1:2">
      <c r="A12" s="2" t="s">
        <v>33</v>
      </c>
      <c r="B12" s="3">
        <v>0.55488328528651143</v>
      </c>
    </row>
    <row r="13" spans="1:2">
      <c r="A13" s="2" t="s">
        <v>30</v>
      </c>
      <c r="B13" s="3">
        <v>0.55098851319334552</v>
      </c>
    </row>
    <row r="14" spans="1:2">
      <c r="A14" s="2" t="s">
        <v>40</v>
      </c>
      <c r="B14" s="3">
        <v>0.54513020829130099</v>
      </c>
    </row>
    <row r="15" spans="1:2">
      <c r="A15" s="2" t="s">
        <v>44</v>
      </c>
      <c r="B15" s="3">
        <v>0.53378506573872342</v>
      </c>
    </row>
    <row r="16" spans="1:2">
      <c r="A16" s="2" t="s">
        <v>43</v>
      </c>
      <c r="B16" s="3">
        <v>0.52947651929010497</v>
      </c>
    </row>
    <row r="17" spans="1:2">
      <c r="A17" s="2" t="s">
        <v>38</v>
      </c>
      <c r="B17" s="3">
        <v>0.50677677697125256</v>
      </c>
    </row>
    <row r="18" spans="1:2">
      <c r="A18" s="2" t="s">
        <v>34</v>
      </c>
      <c r="B18" s="3">
        <v>0.49371988218068635</v>
      </c>
    </row>
    <row r="19" spans="1:2">
      <c r="A19" s="2" t="s">
        <v>18</v>
      </c>
      <c r="B19" s="3">
        <v>0.44553328697813388</v>
      </c>
    </row>
    <row r="20" spans="1:2">
      <c r="A20" s="2" t="s">
        <v>12</v>
      </c>
      <c r="B20" s="3">
        <v>0.41142339837756881</v>
      </c>
    </row>
    <row r="21" spans="1:2">
      <c r="A21" s="2" t="s">
        <v>15</v>
      </c>
      <c r="B21" s="3">
        <v>0.35666033247404688</v>
      </c>
    </row>
    <row r="22" spans="1:2">
      <c r="A22" s="2" t="s">
        <v>22</v>
      </c>
      <c r="B22" s="3">
        <v>0.35421397453798736</v>
      </c>
    </row>
    <row r="23" spans="1:2">
      <c r="A23" s="2" t="s">
        <v>13</v>
      </c>
      <c r="B23" s="3">
        <v>0.34206683085850753</v>
      </c>
    </row>
    <row r="24" spans="1:2">
      <c r="A24" s="2" t="s">
        <v>10</v>
      </c>
      <c r="B24" s="3">
        <v>0.33379905048078468</v>
      </c>
    </row>
    <row r="25" spans="1:2">
      <c r="A25" s="2" t="s">
        <v>23</v>
      </c>
      <c r="B25" s="3">
        <v>0.32611917806558632</v>
      </c>
    </row>
    <row r="26" spans="1:2">
      <c r="A26" s="2" t="s">
        <v>26</v>
      </c>
      <c r="B26" s="3">
        <v>0.3180986611572143</v>
      </c>
    </row>
    <row r="27" spans="1:2">
      <c r="A27" s="2" t="s">
        <v>11</v>
      </c>
      <c r="B27" s="3">
        <v>0.31730718562352783</v>
      </c>
    </row>
    <row r="28" spans="1:2">
      <c r="A28" s="2" t="s">
        <v>25</v>
      </c>
      <c r="B28" s="3">
        <v>0.31516301674690117</v>
      </c>
    </row>
    <row r="29" spans="1:2">
      <c r="A29" s="2" t="s">
        <v>19</v>
      </c>
      <c r="B29" s="3">
        <v>0.31490583979347847</v>
      </c>
    </row>
    <row r="30" spans="1:2">
      <c r="A30" s="2" t="s">
        <v>20</v>
      </c>
      <c r="B30" s="3">
        <v>0.27485266064078628</v>
      </c>
    </row>
    <row r="31" spans="1:2">
      <c r="A31" s="2" t="s">
        <v>14</v>
      </c>
      <c r="B31" s="3">
        <v>0.24445747420124561</v>
      </c>
    </row>
    <row r="32" spans="1:2">
      <c r="A32" s="2" t="s">
        <v>24</v>
      </c>
      <c r="B32" s="3">
        <v>0.23657376529298235</v>
      </c>
    </row>
    <row r="33" spans="1:2">
      <c r="A33" s="2" t="s">
        <v>17</v>
      </c>
      <c r="B33" s="3">
        <v>0.19389914924129656</v>
      </c>
    </row>
    <row r="34" spans="1:2">
      <c r="A34" s="2" t="s">
        <v>21</v>
      </c>
      <c r="B34" s="3">
        <v>0.17088297726248766</v>
      </c>
    </row>
    <row r="35" spans="1:2">
      <c r="A35" s="2" t="s">
        <v>16</v>
      </c>
      <c r="B35" s="3">
        <v>0.10563180668319301</v>
      </c>
    </row>
  </sheetData>
  <sortState ref="A2:B35">
    <sortCondition descending="1" ref="B2:B35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B31" sqref="B31:R31"/>
    </sheetView>
  </sheetViews>
  <sheetFormatPr defaultColWidth="11" defaultRowHeight="15.75"/>
  <sheetData>
    <row r="1" spans="1:18" ht="18.75">
      <c r="A1" s="1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24</v>
      </c>
      <c r="Q1" s="2" t="s">
        <v>25</v>
      </c>
      <c r="R1" s="2" t="s">
        <v>26</v>
      </c>
    </row>
    <row r="2" spans="1:18" ht="18.75">
      <c r="A2" s="3"/>
      <c r="B2" s="2">
        <v>2010</v>
      </c>
      <c r="C2" s="2">
        <v>2010</v>
      </c>
      <c r="D2" s="2">
        <v>2010</v>
      </c>
      <c r="E2" s="2">
        <v>2010</v>
      </c>
      <c r="F2" s="2">
        <v>2010</v>
      </c>
      <c r="G2" s="2">
        <v>2010</v>
      </c>
      <c r="H2" s="2">
        <v>2010</v>
      </c>
      <c r="I2" s="2">
        <v>2010</v>
      </c>
      <c r="J2" s="2">
        <v>2010</v>
      </c>
      <c r="K2" s="2">
        <v>2010</v>
      </c>
      <c r="L2" s="2">
        <v>2010</v>
      </c>
      <c r="M2" s="2">
        <v>2010</v>
      </c>
      <c r="N2" s="2">
        <v>2010</v>
      </c>
      <c r="O2" s="2">
        <v>2010</v>
      </c>
      <c r="P2" s="2">
        <v>2010</v>
      </c>
      <c r="Q2" s="2">
        <v>2010</v>
      </c>
      <c r="R2" s="2">
        <v>2010</v>
      </c>
    </row>
    <row r="3" spans="1:18" ht="18.75">
      <c r="A3" s="1" t="s">
        <v>0</v>
      </c>
      <c r="B3" s="2">
        <v>10749.31922448427</v>
      </c>
      <c r="C3" s="2">
        <v>2555.1771009778467</v>
      </c>
      <c r="D3" s="2">
        <v>6781.6964840094633</v>
      </c>
      <c r="E3" s="2">
        <v>2426.3324663395415</v>
      </c>
      <c r="F3" s="2">
        <v>3218.0717038818466</v>
      </c>
      <c r="G3" s="2">
        <v>5226.566177671798</v>
      </c>
      <c r="H3" s="2">
        <v>794.80125600997053</v>
      </c>
      <c r="I3" s="2">
        <v>1145.3854345842906</v>
      </c>
      <c r="J3" s="2">
        <v>5168.6860159618955</v>
      </c>
      <c r="K3" s="2">
        <v>6124.709570735401</v>
      </c>
      <c r="L3" s="2">
        <v>3180.3746084771628</v>
      </c>
      <c r="M3" s="2">
        <v>1383.404865284723</v>
      </c>
      <c r="N3" s="2">
        <v>2712.5080160259749</v>
      </c>
      <c r="O3" s="2">
        <v>3143.5338689667174</v>
      </c>
      <c r="P3" s="2">
        <v>5356.0004392767878</v>
      </c>
      <c r="Q3" s="2">
        <v>9096.7944590675233</v>
      </c>
      <c r="R3" s="2">
        <v>5528.3631138752189</v>
      </c>
    </row>
    <row r="4" spans="1:18" ht="18.75">
      <c r="A4" s="1" t="s">
        <v>1</v>
      </c>
      <c r="B4" s="2">
        <v>27871</v>
      </c>
      <c r="C4" s="2">
        <v>18197</v>
      </c>
      <c r="D4" s="2">
        <v>32102</v>
      </c>
      <c r="E4" s="2">
        <v>13045</v>
      </c>
      <c r="F4" s="2">
        <v>17616</v>
      </c>
      <c r="G4" s="2">
        <v>18116</v>
      </c>
      <c r="H4" s="2">
        <v>8496</v>
      </c>
      <c r="I4" s="2">
        <v>10474</v>
      </c>
      <c r="J4" s="2">
        <v>25175</v>
      </c>
      <c r="K4" s="2">
        <v>19892</v>
      </c>
      <c r="L4" s="2">
        <v>15031</v>
      </c>
      <c r="M4" s="2">
        <v>8408</v>
      </c>
      <c r="N4" s="2">
        <v>15883</v>
      </c>
      <c r="O4" s="2">
        <v>17339</v>
      </c>
      <c r="P4" s="2">
        <v>27671</v>
      </c>
      <c r="Q4" s="2">
        <v>23775</v>
      </c>
      <c r="R4" s="2">
        <v>27814</v>
      </c>
    </row>
    <row r="5" spans="1:18" ht="18.75">
      <c r="A5" s="1" t="s">
        <v>2</v>
      </c>
      <c r="B5" s="2">
        <v>25.308516721494506</v>
      </c>
      <c r="C5" s="2">
        <v>20.9927684865802</v>
      </c>
      <c r="D5" s="2">
        <v>29.701572167371619</v>
      </c>
      <c r="E5" s="2">
        <v>52.13465261879572</v>
      </c>
      <c r="F5" s="2">
        <v>19.969949259490168</v>
      </c>
      <c r="G5" s="2">
        <v>17.821490885573336</v>
      </c>
      <c r="H5" s="2">
        <v>31.673737916872195</v>
      </c>
      <c r="I5" s="2">
        <v>34.253194300537189</v>
      </c>
      <c r="J5" s="2">
        <v>40.307937290574472</v>
      </c>
      <c r="K5" s="2">
        <v>22.798991771682037</v>
      </c>
      <c r="L5" s="2">
        <v>27.989704660475095</v>
      </c>
      <c r="M5" s="2">
        <v>18.727818898067476</v>
      </c>
      <c r="N5" s="2">
        <v>33.365064061995753</v>
      </c>
      <c r="O5" s="2">
        <v>21.064043485264346</v>
      </c>
      <c r="P5" s="2">
        <v>13.972789519704271</v>
      </c>
      <c r="Q5" s="2">
        <v>19.387953141741789</v>
      </c>
      <c r="R5" s="2">
        <v>32.895578426869413</v>
      </c>
    </row>
    <row r="6" spans="1:18" ht="18.75">
      <c r="A6" s="1" t="s">
        <v>3</v>
      </c>
      <c r="B6" s="2">
        <v>40.106668347472798</v>
      </c>
      <c r="C6" s="2">
        <v>116.71515562418892</v>
      </c>
      <c r="D6" s="2">
        <v>69.970757146077574</v>
      </c>
      <c r="E6" s="2">
        <v>57.313057391943666</v>
      </c>
      <c r="F6" s="2">
        <v>33.918348055253638</v>
      </c>
      <c r="G6" s="2">
        <v>78.390474682080097</v>
      </c>
      <c r="H6" s="2">
        <v>49.692813374587978</v>
      </c>
      <c r="I6" s="2">
        <v>47.563165054109803</v>
      </c>
      <c r="J6" s="2">
        <v>170.33226335543728</v>
      </c>
      <c r="K6" s="2">
        <v>61.856065050499289</v>
      </c>
      <c r="L6" s="2">
        <v>48.272815406165044</v>
      </c>
      <c r="M6" s="2">
        <v>71.419491269774255</v>
      </c>
      <c r="N6" s="2">
        <v>135.14154283386119</v>
      </c>
      <c r="O6" s="2">
        <v>102.83074289432209</v>
      </c>
      <c r="P6" s="2">
        <v>47.968919990004423</v>
      </c>
      <c r="Q6" s="2">
        <v>52.866606315358148</v>
      </c>
      <c r="R6" s="2">
        <v>46.13689352402028</v>
      </c>
    </row>
    <row r="7" spans="1:18" ht="18.75">
      <c r="A7" s="8" t="s">
        <v>7</v>
      </c>
      <c r="B7" s="5">
        <v>75.632146341463425</v>
      </c>
      <c r="C7" s="5">
        <v>73.512195121951223</v>
      </c>
      <c r="D7" s="5">
        <v>78.885731707317092</v>
      </c>
      <c r="E7" s="5">
        <v>73.273097560975629</v>
      </c>
      <c r="F7" s="5">
        <v>73.429682926829273</v>
      </c>
      <c r="G7" s="5">
        <v>79.192609756097568</v>
      </c>
      <c r="H7" s="5">
        <v>65.131341463414643</v>
      </c>
      <c r="I7" s="5">
        <v>68.889658536585358</v>
      </c>
      <c r="J7" s="5">
        <v>74.024560975609774</v>
      </c>
      <c r="K7" s="5">
        <v>76.683780487804881</v>
      </c>
      <c r="L7" s="5">
        <v>73.764975609756107</v>
      </c>
      <c r="M7" s="5">
        <v>68.484317073170743</v>
      </c>
      <c r="N7" s="5">
        <v>73.927658536585369</v>
      </c>
      <c r="O7" s="5">
        <v>74.600000000000009</v>
      </c>
      <c r="P7" s="5">
        <v>73.696658536585375</v>
      </c>
      <c r="Q7" s="5">
        <v>76.236829268292695</v>
      </c>
      <c r="R7" s="5">
        <v>74.127317073170744</v>
      </c>
    </row>
    <row r="8" spans="1:18" ht="18.75">
      <c r="A8" s="8" t="s">
        <v>8</v>
      </c>
      <c r="B8" s="5">
        <v>88.686999999999998</v>
      </c>
      <c r="C8" s="5">
        <v>88.851699999999994</v>
      </c>
      <c r="D8" s="5">
        <v>89.383799999999994</v>
      </c>
      <c r="E8" s="5">
        <v>81.177599999999998</v>
      </c>
      <c r="F8" s="5">
        <v>96.363119999999995</v>
      </c>
      <c r="G8" s="5">
        <v>99.692019999999999</v>
      </c>
      <c r="H8" s="5">
        <v>63.214500000000001</v>
      </c>
      <c r="I8" s="5">
        <v>77.152720000000002</v>
      </c>
      <c r="J8" s="5">
        <v>72.552948000000001</v>
      </c>
      <c r="K8" s="5">
        <v>88.781689999999998</v>
      </c>
      <c r="L8" s="5">
        <v>91.380520000000004</v>
      </c>
      <c r="M8" s="5">
        <v>85.713343533333301</v>
      </c>
      <c r="N8" s="5">
        <v>77.228110000000001</v>
      </c>
      <c r="O8" s="5">
        <v>93.744743200000002</v>
      </c>
      <c r="P8" s="5">
        <v>82.106939999999994</v>
      </c>
      <c r="Q8" s="5">
        <v>90.420860000000005</v>
      </c>
      <c r="R8" s="5">
        <v>82.518950000000004</v>
      </c>
    </row>
    <row r="9" spans="1:18" ht="18.75">
      <c r="A9" s="3" t="s">
        <v>4</v>
      </c>
      <c r="B9" s="2">
        <f t="shared" ref="B9:R9" si="0">(B3-794.801)/(39971.787-794.801)</f>
        <v>0.25409096617295346</v>
      </c>
      <c r="C9" s="2">
        <f t="shared" si="0"/>
        <v>4.4933933942183479E-2</v>
      </c>
      <c r="D9" s="2">
        <f t="shared" si="0"/>
        <v>0.15281664301611828</v>
      </c>
      <c r="E9" s="2">
        <f t="shared" si="0"/>
        <v>4.1645150199648887E-2</v>
      </c>
      <c r="F9" s="2">
        <f t="shared" si="0"/>
        <v>6.1854444440464278E-2</v>
      </c>
      <c r="G9" s="2">
        <f t="shared" si="0"/>
        <v>0.11312164691974512</v>
      </c>
      <c r="H9" s="2">
        <f t="shared" si="0"/>
        <v>6.5347030648334766E-9</v>
      </c>
      <c r="I9" s="2">
        <f t="shared" si="0"/>
        <v>8.9487342028886693E-3</v>
      </c>
      <c r="J9" s="2">
        <f t="shared" si="0"/>
        <v>0.1116442448115303</v>
      </c>
      <c r="K9" s="2">
        <f t="shared" si="0"/>
        <v>0.13604692741640209</v>
      </c>
      <c r="L9" s="2">
        <f t="shared" si="0"/>
        <v>6.0892218928662943E-2</v>
      </c>
      <c r="M9" s="2">
        <f t="shared" si="0"/>
        <v>1.502422532669366E-2</v>
      </c>
      <c r="N9" s="2">
        <f t="shared" si="0"/>
        <v>4.8949835396372127E-2</v>
      </c>
      <c r="O9" s="2">
        <f t="shared" si="0"/>
        <v>5.9951852063523152E-2</v>
      </c>
      <c r="P9" s="2">
        <f t="shared" si="0"/>
        <v>0.11642548100246373</v>
      </c>
      <c r="Q9" s="2">
        <f t="shared" si="0"/>
        <v>0.21190995803167514</v>
      </c>
      <c r="R9" s="2">
        <f t="shared" si="0"/>
        <v>0.12082507097088119</v>
      </c>
    </row>
    <row r="10" spans="1:18" ht="18.75">
      <c r="A10" s="3" t="s">
        <v>5</v>
      </c>
      <c r="B10" s="2">
        <f t="shared" ref="B10:R10" si="1">(B4-8408)/(67319-8408)</f>
        <v>0.33037972534840693</v>
      </c>
      <c r="C10" s="2">
        <f t="shared" si="1"/>
        <v>0.1661659112899119</v>
      </c>
      <c r="D10" s="2">
        <f t="shared" si="1"/>
        <v>0.40219992870601418</v>
      </c>
      <c r="E10" s="2">
        <f t="shared" si="1"/>
        <v>7.8711955322435537E-2</v>
      </c>
      <c r="F10" s="2">
        <f t="shared" si="1"/>
        <v>0.15630357658162314</v>
      </c>
      <c r="G10" s="2">
        <f t="shared" si="1"/>
        <v>0.16479095584865305</v>
      </c>
      <c r="H10" s="2">
        <f t="shared" si="1"/>
        <v>1.4937787509972671E-3</v>
      </c>
      <c r="I10" s="2">
        <f t="shared" si="1"/>
        <v>3.5069851131367659E-2</v>
      </c>
      <c r="J10" s="2">
        <f t="shared" si="1"/>
        <v>0.28461577634058155</v>
      </c>
      <c r="K10" s="2">
        <f t="shared" si="1"/>
        <v>0.19493812700514335</v>
      </c>
      <c r="L10" s="2">
        <f t="shared" si="1"/>
        <v>0.1124238257710784</v>
      </c>
      <c r="M10" s="2">
        <f t="shared" si="1"/>
        <v>0</v>
      </c>
      <c r="N10" s="2">
        <f t="shared" si="1"/>
        <v>0.12688632004209741</v>
      </c>
      <c r="O10" s="2">
        <f t="shared" si="1"/>
        <v>0.15160156846768855</v>
      </c>
      <c r="P10" s="2">
        <f t="shared" si="1"/>
        <v>0.32698477364159495</v>
      </c>
      <c r="Q10" s="2">
        <f t="shared" si="1"/>
        <v>0.26085111439289776</v>
      </c>
      <c r="R10" s="2">
        <f t="shared" si="1"/>
        <v>0.3294121641119655</v>
      </c>
    </row>
    <row r="11" spans="1:18" ht="18.75">
      <c r="A11" s="3" t="s">
        <v>6</v>
      </c>
      <c r="B11" s="2">
        <f t="shared" ref="B11:R11" si="2">(B5-11.292)/(52.135-11.292)</f>
        <v>0.34318039129090683</v>
      </c>
      <c r="C11" s="2">
        <f t="shared" si="2"/>
        <v>0.23751361277526628</v>
      </c>
      <c r="D11" s="2">
        <f t="shared" si="2"/>
        <v>0.45073995953704732</v>
      </c>
      <c r="E11" s="2">
        <f t="shared" si="2"/>
        <v>0.99999149471869653</v>
      </c>
      <c r="F11" s="2">
        <f t="shared" si="2"/>
        <v>0.2124709071197064</v>
      </c>
      <c r="G11" s="2">
        <f t="shared" si="2"/>
        <v>0.15986805292396095</v>
      </c>
      <c r="H11" s="2">
        <f t="shared" si="2"/>
        <v>0.49902646516838134</v>
      </c>
      <c r="I11" s="2">
        <f t="shared" si="2"/>
        <v>0.56218187450817003</v>
      </c>
      <c r="J11" s="2">
        <f t="shared" si="2"/>
        <v>0.71042620009731094</v>
      </c>
      <c r="K11" s="2">
        <f t="shared" si="2"/>
        <v>0.28173718315701679</v>
      </c>
      <c r="L11" s="2">
        <f t="shared" si="2"/>
        <v>0.40882659600115318</v>
      </c>
      <c r="M11" s="2">
        <f t="shared" si="2"/>
        <v>0.18205858771558103</v>
      </c>
      <c r="N11" s="2">
        <f t="shared" si="2"/>
        <v>0.54043689400866124</v>
      </c>
      <c r="O11" s="2">
        <f t="shared" si="2"/>
        <v>0.23925870982210776</v>
      </c>
      <c r="P11" s="2">
        <f t="shared" si="2"/>
        <v>6.5636449812801992E-2</v>
      </c>
      <c r="Q11" s="2">
        <f t="shared" si="2"/>
        <v>0.19822131434375023</v>
      </c>
      <c r="R11" s="2">
        <f t="shared" si="2"/>
        <v>0.52894200785616663</v>
      </c>
    </row>
    <row r="12" spans="1:18" ht="18.75">
      <c r="A12" s="4" t="s">
        <v>7</v>
      </c>
      <c r="B12" s="2">
        <f t="shared" ref="B12:R12" si="3">(B7-65.131)/(82.933-65.131)</f>
        <v>0.58988576235610723</v>
      </c>
      <c r="C12" s="2">
        <f t="shared" si="3"/>
        <v>0.47080075957483536</v>
      </c>
      <c r="D12" s="2">
        <f t="shared" si="3"/>
        <v>0.77265092165583005</v>
      </c>
      <c r="E12" s="2">
        <f t="shared" si="3"/>
        <v>0.45736982142318983</v>
      </c>
      <c r="F12" s="2">
        <f t="shared" si="3"/>
        <v>0.46616576378099478</v>
      </c>
      <c r="G12" s="2">
        <f t="shared" si="3"/>
        <v>0.78988932457575345</v>
      </c>
      <c r="H12" s="2">
        <f t="shared" si="3"/>
        <v>1.9181182712187517E-5</v>
      </c>
      <c r="I12" s="2">
        <f t="shared" si="3"/>
        <v>0.21113686869932347</v>
      </c>
      <c r="J12" s="2">
        <f t="shared" si="3"/>
        <v>0.49958212423378101</v>
      </c>
      <c r="K12" s="2">
        <f t="shared" si="3"/>
        <v>0.64895969485478466</v>
      </c>
      <c r="L12" s="2">
        <f t="shared" si="3"/>
        <v>0.48500031511943059</v>
      </c>
      <c r="M12" s="2">
        <f t="shared" si="3"/>
        <v>0.18836743473602638</v>
      </c>
      <c r="N12" s="2">
        <f t="shared" si="3"/>
        <v>0.49413877859708827</v>
      </c>
      <c r="O12" s="2">
        <f t="shared" si="3"/>
        <v>0.53190652735647703</v>
      </c>
      <c r="P12" s="2">
        <f t="shared" si="3"/>
        <v>0.48116270849260595</v>
      </c>
      <c r="Q12" s="2">
        <f t="shared" si="3"/>
        <v>0.6238528967696152</v>
      </c>
      <c r="R12" s="2">
        <f t="shared" si="3"/>
        <v>0.5053542901455309</v>
      </c>
    </row>
    <row r="13" spans="1:18" ht="18.75">
      <c r="A13" s="4" t="s">
        <v>8</v>
      </c>
      <c r="B13" s="2">
        <f t="shared" ref="B13:R13" si="4">(B8-63.215)/(124.723-63.215)</f>
        <v>0.41412499187097607</v>
      </c>
      <c r="C13" s="2">
        <f t="shared" si="4"/>
        <v>0.41680269233270456</v>
      </c>
      <c r="D13" s="2">
        <f t="shared" si="4"/>
        <v>0.42545359953176809</v>
      </c>
      <c r="E13" s="2">
        <f t="shared" si="4"/>
        <v>0.29203680822006889</v>
      </c>
      <c r="F13" s="2">
        <f t="shared" si="4"/>
        <v>0.53892371724003374</v>
      </c>
      <c r="G13" s="2">
        <f t="shared" si="4"/>
        <v>0.59304513234050849</v>
      </c>
      <c r="H13" s="2">
        <f t="shared" si="4"/>
        <v>-8.1290238668528889E-6</v>
      </c>
      <c r="I13" s="2">
        <f t="shared" si="4"/>
        <v>0.22660011705794367</v>
      </c>
      <c r="J13" s="2">
        <f t="shared" si="4"/>
        <v>0.15181680431813743</v>
      </c>
      <c r="K13" s="2">
        <f t="shared" si="4"/>
        <v>0.41566446641087329</v>
      </c>
      <c r="L13" s="2">
        <f t="shared" si="4"/>
        <v>0.45791636860245827</v>
      </c>
      <c r="M13" s="2">
        <f t="shared" si="4"/>
        <v>0.36577914309249693</v>
      </c>
      <c r="N13" s="2">
        <f t="shared" si="4"/>
        <v>0.22782581127658189</v>
      </c>
      <c r="O13" s="2">
        <f t="shared" si="4"/>
        <v>0.49635402224100933</v>
      </c>
      <c r="P13" s="2">
        <f t="shared" si="4"/>
        <v>0.3071460623008388</v>
      </c>
      <c r="Q13" s="2">
        <f t="shared" si="4"/>
        <v>0.44231417051440469</v>
      </c>
      <c r="R13" s="2">
        <f t="shared" si="4"/>
        <v>0.31384454054757105</v>
      </c>
    </row>
    <row r="14" spans="1:18" ht="18.75">
      <c r="A14" s="3" t="s">
        <v>46</v>
      </c>
      <c r="B14" s="2">
        <f>(B9+B10+B11+B12+B13)/5</f>
        <v>0.38633236740787014</v>
      </c>
      <c r="C14" s="2">
        <f t="shared" ref="C14:R14" si="5">(C9+C10+C11+C12+C13)/5</f>
        <v>0.26724338198298031</v>
      </c>
      <c r="D14" s="2">
        <f t="shared" si="5"/>
        <v>0.44077221048935566</v>
      </c>
      <c r="E14" s="2">
        <f t="shared" si="5"/>
        <v>0.37395104597680795</v>
      </c>
      <c r="F14" s="2">
        <f t="shared" si="5"/>
        <v>0.28714368183256445</v>
      </c>
      <c r="G14" s="2">
        <f t="shared" si="5"/>
        <v>0.3641430225217242</v>
      </c>
      <c r="H14" s="2">
        <f t="shared" si="5"/>
        <v>0.10010626052258539</v>
      </c>
      <c r="I14" s="2">
        <f t="shared" si="5"/>
        <v>0.20878748911993869</v>
      </c>
      <c r="J14" s="2">
        <f t="shared" si="5"/>
        <v>0.35161702996026822</v>
      </c>
      <c r="K14" s="2">
        <f t="shared" si="5"/>
        <v>0.335469279768844</v>
      </c>
      <c r="L14" s="2">
        <f t="shared" si="5"/>
        <v>0.30501186488455667</v>
      </c>
      <c r="M14" s="2">
        <f t="shared" si="5"/>
        <v>0.1502458781741596</v>
      </c>
      <c r="N14" s="2">
        <f t="shared" si="5"/>
        <v>0.2876475278641602</v>
      </c>
      <c r="O14" s="2">
        <f t="shared" si="5"/>
        <v>0.29581453599016116</v>
      </c>
      <c r="P14" s="2">
        <f t="shared" si="5"/>
        <v>0.25947109505006111</v>
      </c>
      <c r="Q14" s="2">
        <f t="shared" si="5"/>
        <v>0.3474298908104686</v>
      </c>
      <c r="R14" s="2">
        <f t="shared" si="5"/>
        <v>0.35967561472642312</v>
      </c>
    </row>
    <row r="15" spans="1:18" ht="18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8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8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8.75">
      <c r="A18" s="1" t="s">
        <v>9</v>
      </c>
      <c r="B18" s="2" t="s">
        <v>28</v>
      </c>
      <c r="C18" s="2" t="s">
        <v>29</v>
      </c>
      <c r="D18" s="2" t="s">
        <v>30</v>
      </c>
      <c r="E18" s="2" t="s">
        <v>31</v>
      </c>
      <c r="F18" s="2" t="s">
        <v>32</v>
      </c>
      <c r="G18" s="2" t="s">
        <v>33</v>
      </c>
      <c r="H18" s="2" t="s">
        <v>34</v>
      </c>
      <c r="I18" s="2" t="s">
        <v>35</v>
      </c>
      <c r="J18" s="2" t="s">
        <v>36</v>
      </c>
      <c r="K18" s="2" t="s">
        <v>37</v>
      </c>
      <c r="L18" s="2" t="s">
        <v>38</v>
      </c>
      <c r="M18" s="2" t="s">
        <v>39</v>
      </c>
      <c r="N18" s="2" t="s">
        <v>40</v>
      </c>
      <c r="O18" s="2" t="s">
        <v>41</v>
      </c>
      <c r="P18" s="2" t="s">
        <v>42</v>
      </c>
      <c r="Q18" s="2" t="s">
        <v>43</v>
      </c>
      <c r="R18" s="2" t="s">
        <v>44</v>
      </c>
    </row>
    <row r="19" spans="1:18" ht="18.75">
      <c r="A19" s="3"/>
      <c r="B19" s="2">
        <v>2010</v>
      </c>
      <c r="C19" s="2">
        <v>2010</v>
      </c>
      <c r="D19" s="2">
        <v>2010</v>
      </c>
      <c r="E19" s="2">
        <v>2010</v>
      </c>
      <c r="F19" s="2">
        <v>2010</v>
      </c>
      <c r="G19" s="2">
        <v>2010</v>
      </c>
      <c r="H19" s="2">
        <v>2010</v>
      </c>
      <c r="I19" s="2">
        <v>2010</v>
      </c>
      <c r="J19" s="2">
        <v>2010</v>
      </c>
      <c r="K19" s="2">
        <v>2010</v>
      </c>
      <c r="L19" s="2">
        <v>2010</v>
      </c>
      <c r="M19" s="2">
        <v>2010</v>
      </c>
      <c r="N19" s="2">
        <v>2010</v>
      </c>
      <c r="O19" s="2">
        <v>2010</v>
      </c>
      <c r="P19" s="2">
        <v>2010</v>
      </c>
      <c r="Q19" s="2">
        <v>2010</v>
      </c>
      <c r="R19" s="2">
        <v>2010</v>
      </c>
    </row>
    <row r="20" spans="1:18" ht="18.75">
      <c r="A20" s="1" t="s">
        <v>0</v>
      </c>
      <c r="B20" s="2">
        <v>26642.993857634163</v>
      </c>
      <c r="C20" s="2">
        <v>24550.396553163449</v>
      </c>
      <c r="D20" s="2">
        <v>25575.216975004561</v>
      </c>
      <c r="E20" s="2">
        <v>30667.824862119454</v>
      </c>
      <c r="F20" s="2">
        <v>26953.220553229461</v>
      </c>
      <c r="G20" s="2">
        <v>22758.154126858244</v>
      </c>
      <c r="H20" s="2">
        <v>18944.413808084089</v>
      </c>
      <c r="I20" s="2">
        <v>27599.296582715371</v>
      </c>
      <c r="J20" s="2">
        <v>39971.787453442477</v>
      </c>
      <c r="K20" s="2">
        <v>26501.045820871324</v>
      </c>
      <c r="L20" s="2">
        <v>14629.218095928976</v>
      </c>
      <c r="M20" s="2">
        <v>39970.292528387799</v>
      </c>
      <c r="N20" s="2">
        <v>15418.820176550324</v>
      </c>
      <c r="O20" s="2">
        <v>32631.19270546297</v>
      </c>
      <c r="P20" s="2">
        <v>38826.842983418268</v>
      </c>
      <c r="Q20" s="2">
        <v>28244.336936297346</v>
      </c>
      <c r="R20" s="2">
        <v>37329.615913867616</v>
      </c>
    </row>
    <row r="21" spans="1:18" ht="18.75">
      <c r="A21" s="1" t="s">
        <v>1</v>
      </c>
      <c r="B21" s="2">
        <v>48487</v>
      </c>
      <c r="C21" s="2">
        <v>54555</v>
      </c>
      <c r="D21" s="2">
        <v>49226</v>
      </c>
      <c r="E21" s="2">
        <v>46789</v>
      </c>
      <c r="F21" s="2">
        <v>51128</v>
      </c>
      <c r="G21" s="2">
        <v>52331</v>
      </c>
      <c r="H21" s="2">
        <v>45047</v>
      </c>
      <c r="I21" s="2">
        <v>55068</v>
      </c>
      <c r="J21" s="2">
        <v>44702</v>
      </c>
      <c r="K21" s="2">
        <v>46721</v>
      </c>
      <c r="L21" s="2">
        <v>37101</v>
      </c>
      <c r="M21" s="2">
        <v>50494</v>
      </c>
      <c r="N21" s="2">
        <v>41679</v>
      </c>
      <c r="O21" s="2">
        <v>50426</v>
      </c>
      <c r="P21" s="2">
        <v>41988</v>
      </c>
      <c r="Q21" s="2">
        <v>47986</v>
      </c>
      <c r="R21" s="2">
        <v>67319</v>
      </c>
    </row>
    <row r="22" spans="1:18" ht="18.75">
      <c r="A22" s="1" t="s">
        <v>2</v>
      </c>
      <c r="B22" s="2">
        <v>25.798096547606775</v>
      </c>
      <c r="C22" s="2">
        <v>22.83243243243243</v>
      </c>
      <c r="D22" s="2">
        <v>20.325764738324565</v>
      </c>
      <c r="E22" s="2">
        <v>22.35843635512936</v>
      </c>
      <c r="F22" s="2">
        <v>19.812523770106711</v>
      </c>
      <c r="G22" s="2">
        <v>17.086910222388653</v>
      </c>
      <c r="H22" s="2">
        <v>18.303308741138739</v>
      </c>
      <c r="I22" s="2">
        <v>30.563144423195794</v>
      </c>
      <c r="J22" s="2">
        <v>20.969929419071047</v>
      </c>
      <c r="K22" s="2">
        <v>26.134626490471174</v>
      </c>
      <c r="L22" s="2">
        <v>21.384879319536235</v>
      </c>
      <c r="M22" s="2">
        <v>34.828826272398906</v>
      </c>
      <c r="N22" s="2">
        <v>20.618791609741031</v>
      </c>
      <c r="O22" s="2">
        <v>24.894390494050842</v>
      </c>
      <c r="P22" s="2">
        <v>31.166513994077711</v>
      </c>
      <c r="Q22" s="2">
        <v>12.954794489723975</v>
      </c>
      <c r="R22" s="2">
        <v>11.292425482336297</v>
      </c>
    </row>
    <row r="23" spans="1:18" ht="18.75">
      <c r="A23" s="1" t="s">
        <v>3</v>
      </c>
      <c r="B23" s="2">
        <v>104.00993843277601</v>
      </c>
      <c r="C23" s="2">
        <v>157.52727272727273</v>
      </c>
      <c r="D23" s="2">
        <v>60.739883097953474</v>
      </c>
      <c r="E23" s="2">
        <v>95.150177501084542</v>
      </c>
      <c r="F23" s="2">
        <v>79.275263428712051</v>
      </c>
      <c r="G23" s="2">
        <v>53.307022092514224</v>
      </c>
      <c r="H23" s="2">
        <v>55.068569313538283</v>
      </c>
      <c r="I23" s="2">
        <v>183.4295582887747</v>
      </c>
      <c r="J23" s="2">
        <v>29.184209499407604</v>
      </c>
      <c r="K23" s="2">
        <v>148.27937629513877</v>
      </c>
      <c r="L23" s="2">
        <v>55.417714001322253</v>
      </c>
      <c r="M23" s="2">
        <v>69.900674771106509</v>
      </c>
      <c r="N23" s="2">
        <v>56.557213721644843</v>
      </c>
      <c r="O23" s="2">
        <v>92.779093287822647</v>
      </c>
      <c r="P23" s="2">
        <v>92.199438258611636</v>
      </c>
      <c r="Q23" s="2">
        <v>63.227301272562009</v>
      </c>
      <c r="R23" s="2">
        <v>29.130893102348228</v>
      </c>
    </row>
    <row r="24" spans="1:18" ht="18.75">
      <c r="A24" s="6" t="s">
        <v>27</v>
      </c>
      <c r="B24" s="2">
        <v>80.382926829268314</v>
      </c>
      <c r="C24" s="2">
        <v>79.936585365853674</v>
      </c>
      <c r="D24" s="2">
        <v>80.797804878048794</v>
      </c>
      <c r="E24" s="2">
        <v>79.100000000000009</v>
      </c>
      <c r="F24" s="2">
        <v>79.870731707317091</v>
      </c>
      <c r="G24" s="2">
        <v>81.368292682926835</v>
      </c>
      <c r="H24" s="2">
        <v>81.736585365853671</v>
      </c>
      <c r="I24" s="2">
        <v>80.2919512195122</v>
      </c>
      <c r="J24" s="2">
        <v>82.932682926829273</v>
      </c>
      <c r="K24" s="2">
        <v>80.702439024390245</v>
      </c>
      <c r="L24" s="2">
        <v>80.702439024390245</v>
      </c>
      <c r="M24" s="2">
        <v>80.997560975609773</v>
      </c>
      <c r="N24" s="2">
        <v>81.626829268292695</v>
      </c>
      <c r="O24" s="2">
        <v>81.451219512195138</v>
      </c>
      <c r="P24" s="2">
        <v>82.246341463414652</v>
      </c>
      <c r="Q24" s="2">
        <v>80.402439024390247</v>
      </c>
      <c r="R24" s="2">
        <v>78.24146341463414</v>
      </c>
    </row>
    <row r="25" spans="1:18" ht="18.75">
      <c r="A25" s="6" t="s">
        <v>45</v>
      </c>
      <c r="B25" s="2">
        <v>98.929839999999999</v>
      </c>
      <c r="C25" s="2">
        <v>110.51548</v>
      </c>
      <c r="D25" s="2">
        <v>104.69811283503</v>
      </c>
      <c r="E25" s="2">
        <v>118.70322</v>
      </c>
      <c r="F25" s="2">
        <v>107.54187</v>
      </c>
      <c r="G25" s="2">
        <v>113.18583</v>
      </c>
      <c r="H25" s="2">
        <v>100.39973999999999</v>
      </c>
      <c r="I25" s="2">
        <v>120.98887000000001</v>
      </c>
      <c r="J25" s="2">
        <v>102.19901</v>
      </c>
      <c r="K25" s="2">
        <v>121.46396</v>
      </c>
      <c r="L25" s="2">
        <v>119.08271000000001</v>
      </c>
      <c r="M25" s="2">
        <v>111.00127000000001</v>
      </c>
      <c r="N25" s="2">
        <v>124.72306</v>
      </c>
      <c r="O25" s="2">
        <v>99.206639999999993</v>
      </c>
      <c r="P25" s="2">
        <v>95.395610000000005</v>
      </c>
      <c r="Q25" s="2">
        <v>105.33817000000001</v>
      </c>
      <c r="R25" s="2">
        <v>96.04074</v>
      </c>
    </row>
    <row r="26" spans="1:18" ht="18.75">
      <c r="A26" s="3" t="s">
        <v>4</v>
      </c>
      <c r="B26" s="2">
        <f>(B20-794.801)/(39971.787-794.801)</f>
        <v>0.65978002640719136</v>
      </c>
      <c r="C26" s="2">
        <f t="shared" ref="C26:R26" si="6">(C20-794.801)/(39971.787-794.801)</f>
        <v>0.60636608321945573</v>
      </c>
      <c r="D26" s="2">
        <f t="shared" si="6"/>
        <v>0.6325248189078293</v>
      </c>
      <c r="E26" s="2">
        <f t="shared" si="6"/>
        <v>0.76251460135599658</v>
      </c>
      <c r="F26" s="2">
        <f t="shared" si="6"/>
        <v>0.66769862166603278</v>
      </c>
      <c r="G26" s="2">
        <f t="shared" si="6"/>
        <v>0.56061875527786253</v>
      </c>
      <c r="H26" s="2">
        <f t="shared" si="6"/>
        <v>0.46327231012830061</v>
      </c>
      <c r="I26" s="2">
        <f t="shared" si="6"/>
        <v>0.68418983488712926</v>
      </c>
      <c r="J26" s="2">
        <f t="shared" si="6"/>
        <v>1.0000000115742054</v>
      </c>
      <c r="K26" s="2">
        <f t="shared" si="6"/>
        <v>0.65615677583955356</v>
      </c>
      <c r="L26" s="2">
        <f t="shared" si="6"/>
        <v>0.35312612093051204</v>
      </c>
      <c r="M26" s="2">
        <f t="shared" si="6"/>
        <v>0.99996185332857923</v>
      </c>
      <c r="N26" s="2">
        <f t="shared" si="6"/>
        <v>0.37328086383547537</v>
      </c>
      <c r="O26" s="2">
        <f t="shared" si="6"/>
        <v>0.81262993803206229</v>
      </c>
      <c r="P26" s="2">
        <f t="shared" si="6"/>
        <v>0.97077508676696755</v>
      </c>
      <c r="Q26" s="2">
        <f t="shared" si="6"/>
        <v>0.70065461228429748</v>
      </c>
      <c r="R26" s="2">
        <f t="shared" si="6"/>
        <v>0.93255808177453003</v>
      </c>
    </row>
    <row r="27" spans="1:18" ht="18.75">
      <c r="A27" s="3" t="s">
        <v>5</v>
      </c>
      <c r="B27" s="2">
        <f>(B21-8408)/(67319-8408)</f>
        <v>0.68033134728658484</v>
      </c>
      <c r="C27" s="2">
        <f t="shared" ref="C27:R27" si="7">(C21-8408)/(67319-8408)</f>
        <v>0.78333418207126004</v>
      </c>
      <c r="D27" s="2">
        <f t="shared" si="7"/>
        <v>0.69287569384325509</v>
      </c>
      <c r="E27" s="2">
        <f t="shared" si="7"/>
        <v>0.65150820729575121</v>
      </c>
      <c r="F27" s="2">
        <f t="shared" si="7"/>
        <v>0.72516168457503694</v>
      </c>
      <c r="G27" s="2">
        <f t="shared" si="7"/>
        <v>0.74558231909151096</v>
      </c>
      <c r="H27" s="2">
        <f t="shared" si="7"/>
        <v>0.62193817792941897</v>
      </c>
      <c r="I27" s="2">
        <f t="shared" si="7"/>
        <v>0.79204223319923273</v>
      </c>
      <c r="J27" s="2">
        <f t="shared" si="7"/>
        <v>0.61608188623516835</v>
      </c>
      <c r="K27" s="2">
        <f t="shared" si="7"/>
        <v>0.6503539237154351</v>
      </c>
      <c r="L27" s="2">
        <f t="shared" si="7"/>
        <v>0.48705674661777937</v>
      </c>
      <c r="M27" s="2">
        <f t="shared" si="7"/>
        <v>0.71439968766444295</v>
      </c>
      <c r="N27" s="2">
        <f t="shared" si="7"/>
        <v>0.56476719118670538</v>
      </c>
      <c r="O27" s="2">
        <f t="shared" si="7"/>
        <v>0.71324540408412695</v>
      </c>
      <c r="P27" s="2">
        <f t="shared" si="7"/>
        <v>0.57001239157372985</v>
      </c>
      <c r="Q27" s="2">
        <f t="shared" si="7"/>
        <v>0.67182699326102091</v>
      </c>
      <c r="R27" s="2">
        <f t="shared" si="7"/>
        <v>1</v>
      </c>
    </row>
    <row r="28" spans="1:18" ht="18.75">
      <c r="A28" s="3" t="s">
        <v>6</v>
      </c>
      <c r="B28" s="2">
        <f>(B22-11.292)/(52.135-11.292)</f>
        <v>0.35516726360959716</v>
      </c>
      <c r="C28" s="2">
        <f t="shared" ref="C28:R28" si="8">(C22-11.292)/(52.135-11.292)</f>
        <v>0.2825559442850043</v>
      </c>
      <c r="D28" s="2">
        <f t="shared" si="8"/>
        <v>0.22118269319894637</v>
      </c>
      <c r="E28" s="2">
        <f t="shared" si="8"/>
        <v>0.27095062446757978</v>
      </c>
      <c r="F28" s="2">
        <f t="shared" si="8"/>
        <v>0.20861650148389474</v>
      </c>
      <c r="G28" s="2">
        <f t="shared" si="8"/>
        <v>0.14188258018237282</v>
      </c>
      <c r="H28" s="2">
        <f t="shared" si="8"/>
        <v>0.17166488115806233</v>
      </c>
      <c r="I28" s="2">
        <f t="shared" si="8"/>
        <v>0.47183469439550951</v>
      </c>
      <c r="J28" s="2">
        <f t="shared" si="8"/>
        <v>0.23695442105308248</v>
      </c>
      <c r="K28" s="2">
        <f t="shared" si="8"/>
        <v>0.36340686263181393</v>
      </c>
      <c r="L28" s="2">
        <f t="shared" si="8"/>
        <v>0.24711405429415656</v>
      </c>
      <c r="M28" s="2">
        <f t="shared" si="8"/>
        <v>0.57627564753810712</v>
      </c>
      <c r="N28" s="2">
        <f t="shared" si="8"/>
        <v>0.22835716303261347</v>
      </c>
      <c r="O28" s="2">
        <f t="shared" si="8"/>
        <v>0.33304092485984976</v>
      </c>
      <c r="P28" s="2">
        <f t="shared" si="8"/>
        <v>0.48660759479170757</v>
      </c>
      <c r="Q28" s="2">
        <f t="shared" si="8"/>
        <v>4.071185979785949E-2</v>
      </c>
      <c r="R28" s="2">
        <f t="shared" si="8"/>
        <v>1.0417509396886194E-5</v>
      </c>
    </row>
    <row r="29" spans="1:18" ht="18.75">
      <c r="A29" s="3" t="s">
        <v>7</v>
      </c>
      <c r="B29" s="2">
        <f t="shared" ref="B29:R29" si="9">(B24-65.131)/(82.933-65.131)</f>
        <v>0.85675355742435166</v>
      </c>
      <c r="C29" s="2">
        <f t="shared" si="9"/>
        <v>0.83168101145116657</v>
      </c>
      <c r="D29" s="2">
        <f t="shared" si="9"/>
        <v>0.88005869441909834</v>
      </c>
      <c r="E29" s="2">
        <f t="shared" si="9"/>
        <v>0.7846871138074375</v>
      </c>
      <c r="F29" s="2">
        <f t="shared" si="9"/>
        <v>0.82798178335676242</v>
      </c>
      <c r="G29" s="2">
        <f t="shared" si="9"/>
        <v>0.9121049703924744</v>
      </c>
      <c r="H29" s="2">
        <f t="shared" si="9"/>
        <v>0.93279324603155067</v>
      </c>
      <c r="I29" s="2">
        <f t="shared" si="9"/>
        <v>0.85164314231615512</v>
      </c>
      <c r="J29" s="2">
        <f t="shared" si="9"/>
        <v>0.99998218890176749</v>
      </c>
      <c r="K29" s="2">
        <f t="shared" si="9"/>
        <v>0.87470166410460837</v>
      </c>
      <c r="L29" s="2">
        <f t="shared" si="9"/>
        <v>0.87470166410460837</v>
      </c>
      <c r="M29" s="2">
        <f t="shared" si="9"/>
        <v>0.89127968630545817</v>
      </c>
      <c r="N29" s="2">
        <f t="shared" si="9"/>
        <v>0.9266278658742102</v>
      </c>
      <c r="O29" s="2">
        <f t="shared" si="9"/>
        <v>0.91676325762246558</v>
      </c>
      <c r="P29" s="2">
        <f t="shared" si="9"/>
        <v>0.96142801165119907</v>
      </c>
      <c r="Q29" s="2">
        <f t="shared" si="9"/>
        <v>0.85784962500787787</v>
      </c>
      <c r="R29" s="2">
        <f t="shared" si="9"/>
        <v>0.73646014013223993</v>
      </c>
    </row>
    <row r="30" spans="1:18" ht="18.75">
      <c r="A30" s="4" t="s">
        <v>8</v>
      </c>
      <c r="B30" s="2">
        <f t="shared" ref="B30:R30" si="10">(B25-63.215)/(124.723-63.215)</f>
        <v>0.5806535735188918</v>
      </c>
      <c r="C30" s="2">
        <f t="shared" si="10"/>
        <v>0.76901346166352336</v>
      </c>
      <c r="D30" s="2">
        <f t="shared" si="10"/>
        <v>0.67443442861140013</v>
      </c>
      <c r="E30" s="2">
        <f t="shared" si="10"/>
        <v>0.90213012941406001</v>
      </c>
      <c r="F30" s="2">
        <f t="shared" si="10"/>
        <v>0.7206683683423295</v>
      </c>
      <c r="G30" s="2">
        <f t="shared" si="10"/>
        <v>0.81242813942901726</v>
      </c>
      <c r="H30" s="2">
        <f t="shared" si="10"/>
        <v>0.60455127788255181</v>
      </c>
      <c r="I30" s="2">
        <f t="shared" si="10"/>
        <v>0.93929033621642721</v>
      </c>
      <c r="J30" s="2">
        <f t="shared" si="10"/>
        <v>0.63380389542823701</v>
      </c>
      <c r="K30" s="2">
        <f t="shared" si="10"/>
        <v>0.94701437211419659</v>
      </c>
      <c r="L30" s="2">
        <f t="shared" si="10"/>
        <v>0.90829989594849458</v>
      </c>
      <c r="M30" s="2">
        <f t="shared" si="10"/>
        <v>0.7769114586720427</v>
      </c>
      <c r="N30" s="2">
        <f t="shared" si="10"/>
        <v>1.000000975482864</v>
      </c>
      <c r="O30" s="2">
        <f t="shared" si="10"/>
        <v>0.58515380113156001</v>
      </c>
      <c r="P30" s="2">
        <f t="shared" si="10"/>
        <v>0.5231938934772713</v>
      </c>
      <c r="Q30" s="2">
        <f t="shared" si="10"/>
        <v>0.68484050855173317</v>
      </c>
      <c r="R30" s="2">
        <f t="shared" si="10"/>
        <v>0.53368244781166674</v>
      </c>
    </row>
    <row r="31" spans="1:18" ht="18.75">
      <c r="A31" s="4" t="s">
        <v>46</v>
      </c>
      <c r="B31" s="2">
        <f>(B26+B27+B28+B29+B30)/5</f>
        <v>0.62653715364932339</v>
      </c>
      <c r="C31" s="2">
        <f t="shared" ref="C31:R31" si="11">(C26+C27+C28+C29+C30)/5</f>
        <v>0.65459013653808196</v>
      </c>
      <c r="D31" s="2">
        <f t="shared" si="11"/>
        <v>0.62021526579610575</v>
      </c>
      <c r="E31" s="2">
        <f t="shared" si="11"/>
        <v>0.67435813526816513</v>
      </c>
      <c r="F31" s="2">
        <f t="shared" si="11"/>
        <v>0.63002539188481133</v>
      </c>
      <c r="G31" s="2">
        <f t="shared" si="11"/>
        <v>0.63452335287464767</v>
      </c>
      <c r="H31" s="2">
        <f t="shared" si="11"/>
        <v>0.5588439786259769</v>
      </c>
      <c r="I31" s="2">
        <f t="shared" si="11"/>
        <v>0.7478000482028907</v>
      </c>
      <c r="J31" s="2">
        <f t="shared" si="11"/>
        <v>0.69736448063849221</v>
      </c>
      <c r="K31" s="2">
        <f t="shared" si="11"/>
        <v>0.69832671968112148</v>
      </c>
      <c r="L31" s="2">
        <f t="shared" si="11"/>
        <v>0.57405969637911025</v>
      </c>
      <c r="M31" s="2">
        <f t="shared" si="11"/>
        <v>0.79176566670172599</v>
      </c>
      <c r="N31" s="2">
        <f t="shared" si="11"/>
        <v>0.61860681188237376</v>
      </c>
      <c r="O31" s="2">
        <f t="shared" si="11"/>
        <v>0.67216666514601298</v>
      </c>
      <c r="P31" s="2">
        <f t="shared" si="11"/>
        <v>0.70240339565217513</v>
      </c>
      <c r="Q31" s="2">
        <f t="shared" si="11"/>
        <v>0.59117671978055775</v>
      </c>
      <c r="R31" s="2">
        <f t="shared" si="11"/>
        <v>0.64054221744556672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G16" sqref="G16"/>
    </sheetView>
  </sheetViews>
  <sheetFormatPr defaultColWidth="11" defaultRowHeight="18.75"/>
  <cols>
    <col min="1" max="2" width="10.875" style="3"/>
    <col min="4" max="5" width="10.875" style="3"/>
  </cols>
  <sheetData>
    <row r="1" spans="1:6">
      <c r="A1" s="1" t="s">
        <v>9</v>
      </c>
      <c r="B1" s="3" t="s">
        <v>46</v>
      </c>
      <c r="D1" s="1" t="s">
        <v>9</v>
      </c>
      <c r="F1" t="s">
        <v>79</v>
      </c>
    </row>
    <row r="2" spans="1:6">
      <c r="A2" s="2" t="s">
        <v>39</v>
      </c>
      <c r="B2" s="3">
        <v>0.79176566670172599</v>
      </c>
      <c r="D2" s="2" t="s">
        <v>35</v>
      </c>
      <c r="E2" s="3">
        <v>0.78983289638630605</v>
      </c>
    </row>
    <row r="3" spans="1:6">
      <c r="A3" s="2" t="s">
        <v>35</v>
      </c>
      <c r="B3" s="3">
        <v>0.7478000482028907</v>
      </c>
      <c r="D3" s="2" t="s">
        <v>37</v>
      </c>
      <c r="E3" s="3">
        <v>0.7106375164405101</v>
      </c>
    </row>
    <row r="4" spans="1:6">
      <c r="A4" s="2" t="s">
        <v>42</v>
      </c>
      <c r="B4" s="3">
        <v>0.70240339565217513</v>
      </c>
      <c r="D4" s="2" t="s">
        <v>39</v>
      </c>
      <c r="E4" s="3">
        <v>0.70384224547054153</v>
      </c>
    </row>
    <row r="5" spans="1:6">
      <c r="A5" s="2" t="s">
        <v>37</v>
      </c>
      <c r="B5" s="3">
        <v>0.69832671968112148</v>
      </c>
      <c r="D5" s="2" t="s">
        <v>29</v>
      </c>
      <c r="E5" s="3">
        <v>0.68417951522230691</v>
      </c>
    </row>
    <row r="6" spans="1:6">
      <c r="A6" s="2" t="s">
        <v>36</v>
      </c>
      <c r="B6" s="3">
        <v>0.69736448063849221</v>
      </c>
      <c r="D6" s="2" t="s">
        <v>42</v>
      </c>
      <c r="E6" s="3">
        <v>0.6534597826160965</v>
      </c>
    </row>
    <row r="7" spans="1:6">
      <c r="A7" s="2" t="s">
        <v>31</v>
      </c>
      <c r="B7" s="3">
        <v>0.67435813526816513</v>
      </c>
      <c r="D7" s="2" t="s">
        <v>31</v>
      </c>
      <c r="E7" s="3">
        <v>0.63327598479769531</v>
      </c>
    </row>
    <row r="8" spans="1:6">
      <c r="A8" s="2" t="s">
        <v>41</v>
      </c>
      <c r="B8" s="3">
        <v>0.67216666514601298</v>
      </c>
      <c r="D8" s="2" t="s">
        <v>41</v>
      </c>
      <c r="E8" s="3">
        <v>0.62888862383494148</v>
      </c>
    </row>
    <row r="9" spans="1:6">
      <c r="A9" s="2" t="s">
        <v>29</v>
      </c>
      <c r="B9" s="3">
        <v>0.65459013653808196</v>
      </c>
      <c r="D9" s="2" t="s">
        <v>28</v>
      </c>
      <c r="E9" s="3">
        <v>0.60299507210833159</v>
      </c>
    </row>
    <row r="10" spans="1:6">
      <c r="A10" s="2" t="s">
        <v>44</v>
      </c>
      <c r="B10" s="3">
        <v>0.64054221744556672</v>
      </c>
      <c r="D10" s="2" t="s">
        <v>36</v>
      </c>
      <c r="E10" s="3">
        <v>0.58119454164706308</v>
      </c>
    </row>
    <row r="11" spans="1:6">
      <c r="A11" s="2" t="s">
        <v>33</v>
      </c>
      <c r="B11" s="3">
        <v>0.63452335287464767</v>
      </c>
      <c r="D11" s="2" t="s">
        <v>32</v>
      </c>
      <c r="E11" s="3">
        <v>0.57918468162559322</v>
      </c>
    </row>
    <row r="12" spans="1:6">
      <c r="A12" s="2" t="s">
        <v>32</v>
      </c>
      <c r="B12" s="3">
        <v>0.63002539188481133</v>
      </c>
      <c r="D12" s="2" t="s">
        <v>33</v>
      </c>
      <c r="E12" s="3">
        <v>0.55488328528651143</v>
      </c>
    </row>
    <row r="13" spans="1:6">
      <c r="A13" s="2" t="s">
        <v>28</v>
      </c>
      <c r="B13" s="3">
        <v>0.62653715364932339</v>
      </c>
      <c r="D13" s="2" t="s">
        <v>30</v>
      </c>
      <c r="E13" s="3">
        <v>0.55098851319334552</v>
      </c>
    </row>
    <row r="14" spans="1:6">
      <c r="A14" s="2" t="s">
        <v>30</v>
      </c>
      <c r="B14" s="3">
        <v>0.62021526579610575</v>
      </c>
      <c r="D14" s="2" t="s">
        <v>40</v>
      </c>
      <c r="E14" s="3">
        <v>0.54513020829130099</v>
      </c>
    </row>
    <row r="15" spans="1:6">
      <c r="A15" s="2" t="s">
        <v>40</v>
      </c>
      <c r="B15" s="3">
        <v>0.61860681188237376</v>
      </c>
      <c r="D15" s="2" t="s">
        <v>44</v>
      </c>
      <c r="E15" s="3">
        <v>0.53378506573872342</v>
      </c>
    </row>
    <row r="16" spans="1:6">
      <c r="A16" s="2" t="s">
        <v>43</v>
      </c>
      <c r="B16" s="3">
        <v>0.59117671978055775</v>
      </c>
      <c r="D16" s="2" t="s">
        <v>43</v>
      </c>
      <c r="E16" s="3">
        <v>0.52947651929010497</v>
      </c>
    </row>
    <row r="17" spans="1:5">
      <c r="A17" s="2" t="s">
        <v>38</v>
      </c>
      <c r="B17" s="3">
        <v>0.57405969637911025</v>
      </c>
      <c r="D17" s="2" t="s">
        <v>38</v>
      </c>
      <c r="E17" s="3">
        <v>0.50677677697125256</v>
      </c>
    </row>
    <row r="18" spans="1:5">
      <c r="A18" s="2" t="s">
        <v>34</v>
      </c>
      <c r="B18" s="3">
        <v>0.5588439786259769</v>
      </c>
      <c r="D18" s="2" t="s">
        <v>34</v>
      </c>
      <c r="E18" s="3">
        <v>0.49371988218068635</v>
      </c>
    </row>
    <row r="19" spans="1:5">
      <c r="A19" s="2" t="s">
        <v>12</v>
      </c>
      <c r="B19" s="3">
        <v>0.44077221048935566</v>
      </c>
      <c r="D19" s="2" t="s">
        <v>18</v>
      </c>
      <c r="E19" s="3">
        <v>0.44553328697813388</v>
      </c>
    </row>
    <row r="20" spans="1:5">
      <c r="A20" s="2" t="s">
        <v>10</v>
      </c>
      <c r="B20" s="3">
        <v>0.38633236740787014</v>
      </c>
      <c r="D20" s="2" t="s">
        <v>12</v>
      </c>
      <c r="E20" s="3">
        <v>0.41142339837756881</v>
      </c>
    </row>
    <row r="21" spans="1:5">
      <c r="A21" s="2" t="s">
        <v>13</v>
      </c>
      <c r="B21" s="3">
        <v>0.37395104597680795</v>
      </c>
      <c r="D21" s="2" t="s">
        <v>15</v>
      </c>
      <c r="E21" s="3">
        <v>0.35666033247404688</v>
      </c>
    </row>
    <row r="22" spans="1:5">
      <c r="A22" s="2" t="s">
        <v>15</v>
      </c>
      <c r="B22" s="3">
        <v>0.3641430225217242</v>
      </c>
      <c r="D22" s="2" t="s">
        <v>22</v>
      </c>
      <c r="E22" s="3">
        <v>0.35421397453798736</v>
      </c>
    </row>
    <row r="23" spans="1:5">
      <c r="A23" s="2" t="s">
        <v>26</v>
      </c>
      <c r="B23" s="3">
        <v>0.35967561472642312</v>
      </c>
      <c r="D23" s="2" t="s">
        <v>13</v>
      </c>
      <c r="E23" s="3">
        <v>0.34206683085850753</v>
      </c>
    </row>
    <row r="24" spans="1:5">
      <c r="A24" s="2" t="s">
        <v>18</v>
      </c>
      <c r="B24" s="3">
        <v>0.35161702996026822</v>
      </c>
      <c r="D24" s="2" t="s">
        <v>10</v>
      </c>
      <c r="E24" s="3">
        <v>0.33379905048078468</v>
      </c>
    </row>
    <row r="25" spans="1:5">
      <c r="A25" s="2" t="s">
        <v>25</v>
      </c>
      <c r="B25" s="3">
        <v>0.3474298908104686</v>
      </c>
      <c r="D25" s="2" t="s">
        <v>23</v>
      </c>
      <c r="E25" s="3">
        <v>0.32611917806558632</v>
      </c>
    </row>
    <row r="26" spans="1:5">
      <c r="A26" s="2" t="s">
        <v>19</v>
      </c>
      <c r="B26" s="3">
        <v>0.335469279768844</v>
      </c>
      <c r="D26" s="2" t="s">
        <v>26</v>
      </c>
      <c r="E26" s="3">
        <v>0.3180986611572143</v>
      </c>
    </row>
    <row r="27" spans="1:5">
      <c r="A27" s="2" t="s">
        <v>20</v>
      </c>
      <c r="B27" s="3">
        <v>0.30501186488455667</v>
      </c>
      <c r="D27" s="2" t="s">
        <v>11</v>
      </c>
      <c r="E27" s="3">
        <v>0.31730718562352783</v>
      </c>
    </row>
    <row r="28" spans="1:5">
      <c r="A28" s="2" t="s">
        <v>23</v>
      </c>
      <c r="B28" s="3">
        <v>0.29581453599016116</v>
      </c>
      <c r="D28" s="2" t="s">
        <v>25</v>
      </c>
      <c r="E28" s="3">
        <v>0.31516301674690117</v>
      </c>
    </row>
    <row r="29" spans="1:5">
      <c r="A29" s="2" t="s">
        <v>22</v>
      </c>
      <c r="B29" s="3">
        <v>0.2876475278641602</v>
      </c>
      <c r="D29" s="2" t="s">
        <v>19</v>
      </c>
      <c r="E29" s="3">
        <v>0.31490583979347847</v>
      </c>
    </row>
    <row r="30" spans="1:5">
      <c r="A30" s="2" t="s">
        <v>14</v>
      </c>
      <c r="B30" s="3">
        <v>0.28714368183256445</v>
      </c>
      <c r="D30" s="2" t="s">
        <v>20</v>
      </c>
      <c r="E30" s="3">
        <v>0.27485266064078628</v>
      </c>
    </row>
    <row r="31" spans="1:5">
      <c r="A31" s="2" t="s">
        <v>11</v>
      </c>
      <c r="B31" s="3">
        <v>0.26724338198298031</v>
      </c>
      <c r="D31" s="2" t="s">
        <v>14</v>
      </c>
      <c r="E31" s="3">
        <v>0.24445747420124561</v>
      </c>
    </row>
    <row r="32" spans="1:5">
      <c r="A32" s="2" t="s">
        <v>24</v>
      </c>
      <c r="B32" s="3">
        <v>0.25947109505006111</v>
      </c>
      <c r="D32" s="2" t="s">
        <v>24</v>
      </c>
      <c r="E32" s="3">
        <v>0.23657376529298235</v>
      </c>
    </row>
    <row r="33" spans="1:5">
      <c r="A33" s="2" t="s">
        <v>17</v>
      </c>
      <c r="B33" s="3">
        <v>0.20878748911993869</v>
      </c>
      <c r="D33" s="2" t="s">
        <v>17</v>
      </c>
      <c r="E33" s="3">
        <v>0.19389914924129656</v>
      </c>
    </row>
    <row r="34" spans="1:5">
      <c r="A34" s="2" t="s">
        <v>21</v>
      </c>
      <c r="B34" s="3">
        <v>0.1502458781741596</v>
      </c>
      <c r="D34" s="2" t="s">
        <v>21</v>
      </c>
      <c r="E34" s="3">
        <v>0.17088297726248766</v>
      </c>
    </row>
    <row r="35" spans="1:5">
      <c r="A35" s="2" t="s">
        <v>16</v>
      </c>
      <c r="B35" s="3">
        <v>0.10010626052258539</v>
      </c>
      <c r="D35" s="2" t="s">
        <v>16</v>
      </c>
      <c r="E35" s="3">
        <v>0.10563180668319301</v>
      </c>
    </row>
  </sheetData>
  <sortState ref="A2:B35">
    <sortCondition descending="1" ref="B2:B35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Sheet1</vt:lpstr>
      <vt:lpstr>CHCI-GOÜ</vt:lpstr>
      <vt:lpstr>CHCI-GÜ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Air</dc:creator>
  <cp:lastModifiedBy>Serkan Çınar</cp:lastModifiedBy>
  <dcterms:created xsi:type="dcterms:W3CDTF">2014-03-24T10:55:30Z</dcterms:created>
  <dcterms:modified xsi:type="dcterms:W3CDTF">2015-06-18T09:43:35Z</dcterms:modified>
</cp:coreProperties>
</file>